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autoCompressPictures="0" defaultThemeVersion="124226"/>
  <mc:AlternateContent xmlns:mc="http://schemas.openxmlformats.org/markup-compatibility/2006">
    <mc:Choice Requires="x15">
      <x15ac:absPath xmlns:x15ac="http://schemas.microsoft.com/office/spreadsheetml/2010/11/ac" url="C:\Users\Owner\ShareFile\Shared Folders\Tools\"/>
    </mc:Choice>
  </mc:AlternateContent>
  <xr:revisionPtr revIDLastSave="0" documentId="8_{ABCBAD81-BB0A-46D6-B288-A895D1FD7C7E}" xr6:coauthVersionLast="43" xr6:coauthVersionMax="43" xr10:uidLastSave="{00000000-0000-0000-0000-000000000000}"/>
  <bookViews>
    <workbookView xWindow="3930" yWindow="855" windowWidth="26670" windowHeight="19395" activeTab="1" xr2:uid="{00000000-000D-0000-FFFF-FFFF00000000}"/>
  </bookViews>
  <sheets>
    <sheet name="Proposed 2016" sheetId="9" r:id="rId1"/>
    <sheet name="Salaries" sheetId="3" r:id="rId2"/>
    <sheet name="Benefits" sheetId="4" r:id="rId3"/>
    <sheet name="OtherAdmin" sheetId="2" r:id="rId4"/>
    <sheet name="Insurance" sheetId="5" r:id="rId5"/>
    <sheet name="Subsidy" sheetId="6" r:id="rId6"/>
    <sheet name="Budget Compare" sheetId="11" r:id="rId7"/>
  </sheets>
  <definedNames>
    <definedName name="_xlnm.Print_Area" localSheetId="2">Benefits!$A$1:$S$52</definedName>
    <definedName name="_xlnm.Print_Area" localSheetId="6">'Budget Compare'!$A$1:$K$56</definedName>
    <definedName name="_xlnm.Print_Area" localSheetId="4">Insurance!$A$1:$J$28</definedName>
    <definedName name="_xlnm.Print_Area" localSheetId="3">OtherAdmin!$A$1:$H$56</definedName>
    <definedName name="_xlnm.Print_Area" localSheetId="0">'Proposed 2016'!$A$1:$K$91</definedName>
    <definedName name="_xlnm.Print_Area" localSheetId="1">Salaries!$A$1:$S$42</definedName>
    <definedName name="_xlnm.Print_Area" localSheetId="5">Subsidy!$A$1:$J$39</definedName>
    <definedName name="_xlnm.Print_Titles" localSheetId="2">Benefits!$1:$9</definedName>
    <definedName name="_xlnm.Print_Titles" localSheetId="6">'Budget Compare'!$1:$6</definedName>
    <definedName name="_xlnm.Print_Titles" localSheetId="0">'Proposed 2016'!$1:$6</definedName>
    <definedName name="_xlnm.Print_Titles" localSheetId="1">Salaries!$1:$9</definedName>
  </definedNames>
  <calcPr calcId="18102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 i="11" l="1"/>
  <c r="G12" i="11"/>
  <c r="E91" i="11"/>
  <c r="E89" i="11"/>
  <c r="E90" i="11" s="1"/>
  <c r="E67" i="11"/>
  <c r="G47" i="11"/>
  <c r="E47" i="11"/>
  <c r="I39" i="11"/>
  <c r="G39" i="11"/>
  <c r="E39" i="11"/>
  <c r="I30" i="11"/>
  <c r="G30" i="11"/>
  <c r="E30" i="11"/>
  <c r="E25" i="11"/>
  <c r="E26" i="11" s="1"/>
  <c r="E13" i="11"/>
  <c r="G79" i="11"/>
  <c r="G91" i="11"/>
  <c r="G80" i="11"/>
  <c r="G67" i="11"/>
  <c r="G68" i="11" s="1"/>
  <c r="E81" i="11"/>
  <c r="I68" i="11"/>
  <c r="E68" i="11"/>
  <c r="C68" i="11"/>
  <c r="I90" i="11"/>
  <c r="G90" i="11"/>
  <c r="C90" i="11"/>
  <c r="I91" i="11"/>
  <c r="I80" i="11"/>
  <c r="I81" i="11" s="1"/>
  <c r="I47" i="11"/>
  <c r="I25" i="11"/>
  <c r="I26" i="11" s="1"/>
  <c r="I12" i="11"/>
  <c r="I10" i="11"/>
  <c r="G24" i="11"/>
  <c r="G26" i="11" s="1"/>
  <c r="G49" i="11" s="1"/>
  <c r="H18" i="11"/>
  <c r="H14" i="6"/>
  <c r="I49" i="11" l="1"/>
  <c r="E92" i="11"/>
  <c r="E95" i="11" s="1"/>
  <c r="I92" i="11"/>
  <c r="I95" i="11" s="1"/>
  <c r="G81" i="11"/>
  <c r="G92" i="11" s="1"/>
  <c r="G95" i="11" s="1"/>
  <c r="E49" i="11"/>
  <c r="E52" i="11" s="1"/>
  <c r="I13" i="11"/>
  <c r="G13" i="11"/>
  <c r="I52" i="11" l="1"/>
  <c r="G99" i="11"/>
  <c r="C54" i="11"/>
  <c r="G52" i="11" l="1"/>
  <c r="G56" i="11" s="1"/>
  <c r="M50" i="11"/>
  <c r="I56" i="11"/>
  <c r="C14" i="2" l="1"/>
  <c r="D13" i="2" s="1"/>
  <c r="G18" i="2" s="1"/>
  <c r="O41" i="3"/>
  <c r="O12" i="4"/>
  <c r="M18" i="4"/>
  <c r="N17" i="4"/>
  <c r="N15" i="4"/>
  <c r="O13" i="4"/>
  <c r="S22" i="3"/>
  <c r="S41" i="3" s="1"/>
  <c r="O22" i="3"/>
  <c r="D71" i="3"/>
  <c r="C71" i="3"/>
  <c r="G20" i="2" l="1"/>
  <c r="G23" i="2"/>
  <c r="G33" i="2"/>
  <c r="G21" i="2"/>
  <c r="G27" i="2"/>
  <c r="T22" i="3"/>
  <c r="S23" i="3" s="1"/>
  <c r="T41" i="3"/>
  <c r="S42" i="3" s="1"/>
  <c r="E71" i="3"/>
  <c r="D72" i="3" s="1"/>
  <c r="E15" i="3" s="1"/>
  <c r="N16" i="4" s="1"/>
  <c r="D12" i="2"/>
  <c r="D58" i="3"/>
  <c r="C58" i="3"/>
  <c r="F18" i="2" l="1"/>
  <c r="F27" i="2"/>
  <c r="F21" i="2"/>
  <c r="F33" i="2"/>
  <c r="F23" i="2"/>
  <c r="F20" i="2"/>
  <c r="O23" i="3"/>
  <c r="E12" i="3"/>
  <c r="N13" i="4" s="1"/>
  <c r="E11" i="3"/>
  <c r="N12" i="4" s="1"/>
  <c r="C9" i="2"/>
  <c r="O42" i="3"/>
  <c r="E58" i="3"/>
  <c r="D59" i="3" s="1"/>
  <c r="E13" i="3" s="1"/>
  <c r="N14" i="4" s="1"/>
  <c r="C72" i="3"/>
  <c r="C15" i="3" s="1"/>
  <c r="M16" i="4" s="1"/>
  <c r="I14" i="4"/>
  <c r="J45" i="4"/>
  <c r="I45" i="4"/>
  <c r="T19" i="4"/>
  <c r="R19" i="4"/>
  <c r="P19" i="4"/>
  <c r="G19" i="4"/>
  <c r="H18" i="3"/>
  <c r="L18" i="3" s="1"/>
  <c r="G47" i="4"/>
  <c r="H47" i="4"/>
  <c r="P47" i="4"/>
  <c r="H36" i="3"/>
  <c r="L36" i="3" s="1"/>
  <c r="N36" i="3" s="1"/>
  <c r="E8" i="9"/>
  <c r="G45" i="4"/>
  <c r="H45" i="4"/>
  <c r="L33" i="3"/>
  <c r="N33" i="3" s="1"/>
  <c r="J26" i="5"/>
  <c r="G78" i="9" s="1"/>
  <c r="G82" i="9" s="1"/>
  <c r="E12" i="5"/>
  <c r="C53" i="9"/>
  <c r="C54" i="9"/>
  <c r="H17" i="6"/>
  <c r="H20" i="6" s="1"/>
  <c r="G14" i="9" s="1"/>
  <c r="L11" i="3"/>
  <c r="I12" i="4"/>
  <c r="J12" i="4"/>
  <c r="H12" i="3"/>
  <c r="L12" i="3" s="1"/>
  <c r="E13" i="4" s="1"/>
  <c r="I13" i="4"/>
  <c r="J13" i="4"/>
  <c r="H13" i="3"/>
  <c r="L13" i="3" s="1"/>
  <c r="J14" i="4"/>
  <c r="H14" i="3"/>
  <c r="L14" i="3" s="1"/>
  <c r="I15" i="4"/>
  <c r="H15" i="3"/>
  <c r="L15" i="3" s="1"/>
  <c r="N15" i="3" s="1"/>
  <c r="I16" i="4"/>
  <c r="J16" i="4"/>
  <c r="H16" i="3"/>
  <c r="L16" i="3" s="1"/>
  <c r="I17" i="4"/>
  <c r="J17" i="4"/>
  <c r="H17" i="3"/>
  <c r="E18" i="4" s="1"/>
  <c r="I18" i="4"/>
  <c r="J18" i="4"/>
  <c r="E20" i="4"/>
  <c r="G20" i="4" s="1"/>
  <c r="H37" i="6"/>
  <c r="I14" i="9" s="1"/>
  <c r="I24" i="9" s="1"/>
  <c r="H30" i="6"/>
  <c r="E14" i="9" s="1"/>
  <c r="H29" i="3"/>
  <c r="I40" i="4"/>
  <c r="J40" i="4"/>
  <c r="H30" i="3"/>
  <c r="L30" i="3" s="1"/>
  <c r="I41" i="4"/>
  <c r="J41" i="4"/>
  <c r="H31" i="3"/>
  <c r="L31" i="3" s="1"/>
  <c r="E42" i="4" s="1"/>
  <c r="I42" i="4"/>
  <c r="J42" i="4"/>
  <c r="H32" i="3"/>
  <c r="L32" i="3" s="1"/>
  <c r="I43" i="4"/>
  <c r="J43" i="4"/>
  <c r="H34" i="3"/>
  <c r="L34" i="3" s="1"/>
  <c r="E44" i="4" s="1"/>
  <c r="I44" i="4"/>
  <c r="J44" i="4"/>
  <c r="H35" i="3"/>
  <c r="L35" i="3" s="1"/>
  <c r="L37" i="3"/>
  <c r="E48" i="4" s="1"/>
  <c r="G48" i="4" s="1"/>
  <c r="I49" i="4"/>
  <c r="G35" i="4"/>
  <c r="G32" i="4"/>
  <c r="I35" i="4"/>
  <c r="K35" i="4" s="1"/>
  <c r="P35" i="4" s="1"/>
  <c r="I34" i="4"/>
  <c r="K34" i="4" s="1"/>
  <c r="P34" i="4" s="1"/>
  <c r="I31" i="4"/>
  <c r="K31" i="4" s="1"/>
  <c r="P31" i="4" s="1"/>
  <c r="I33" i="4"/>
  <c r="I32" i="4"/>
  <c r="I30" i="4"/>
  <c r="I29" i="4"/>
  <c r="I28" i="4"/>
  <c r="K28" i="4" s="1"/>
  <c r="P28" i="4" s="1"/>
  <c r="I24" i="4"/>
  <c r="G25" i="4"/>
  <c r="J38" i="3"/>
  <c r="J20" i="3"/>
  <c r="P38" i="3"/>
  <c r="C61" i="9"/>
  <c r="C66" i="9"/>
  <c r="C67" i="9"/>
  <c r="E48" i="9"/>
  <c r="G30" i="4"/>
  <c r="I25" i="4"/>
  <c r="K25" i="4" s="1"/>
  <c r="P25" i="4" s="1"/>
  <c r="C80" i="9"/>
  <c r="C45" i="11" s="1"/>
  <c r="H29" i="9"/>
  <c r="T49" i="4"/>
  <c r="H37" i="4"/>
  <c r="J37" i="4"/>
  <c r="G26" i="4"/>
  <c r="K29" i="4"/>
  <c r="P29" i="4" s="1"/>
  <c r="G33" i="4"/>
  <c r="K33" i="4" s="1"/>
  <c r="P33" i="4" s="1"/>
  <c r="G36" i="4"/>
  <c r="I36" i="4"/>
  <c r="K32" i="4"/>
  <c r="P32" i="4" s="1"/>
  <c r="I26" i="4"/>
  <c r="I27" i="4"/>
  <c r="K27" i="4" s="1"/>
  <c r="P27" i="4" s="1"/>
  <c r="F26" i="5"/>
  <c r="H12" i="5"/>
  <c r="H24" i="5"/>
  <c r="J24" i="5"/>
  <c r="I26" i="5"/>
  <c r="E26" i="5"/>
  <c r="C12" i="9"/>
  <c r="C19" i="9"/>
  <c r="G34" i="9"/>
  <c r="C34" i="9"/>
  <c r="C15" i="9"/>
  <c r="C10" i="9"/>
  <c r="C58" i="9"/>
  <c r="K26" i="4"/>
  <c r="P26" i="4" s="1"/>
  <c r="G41" i="9"/>
  <c r="C22" i="9"/>
  <c r="C11" i="9"/>
  <c r="C18" i="9"/>
  <c r="E34" i="2"/>
  <c r="E35" i="2"/>
  <c r="C81" i="9"/>
  <c r="C46" i="11" s="1"/>
  <c r="C35" i="9"/>
  <c r="C24" i="11" s="1"/>
  <c r="D84" i="9"/>
  <c r="I82" i="9"/>
  <c r="C79" i="9"/>
  <c r="C44" i="11" s="1"/>
  <c r="C76" i="9"/>
  <c r="I74" i="9"/>
  <c r="C73" i="9"/>
  <c r="C72" i="9"/>
  <c r="C71" i="9"/>
  <c r="C69" i="9"/>
  <c r="C68" i="9"/>
  <c r="C64" i="9"/>
  <c r="C63" i="9"/>
  <c r="C62" i="9"/>
  <c r="C60" i="9"/>
  <c r="C57" i="9"/>
  <c r="C56" i="9"/>
  <c r="C55" i="9"/>
  <c r="I48" i="9"/>
  <c r="G48" i="9"/>
  <c r="C47" i="9"/>
  <c r="C46" i="9"/>
  <c r="C45" i="9"/>
  <c r="C44" i="9"/>
  <c r="I41" i="9"/>
  <c r="E41" i="9"/>
  <c r="C40" i="9"/>
  <c r="C29" i="11" s="1"/>
  <c r="C30" i="11" s="1"/>
  <c r="C33" i="9"/>
  <c r="C22" i="11" s="1"/>
  <c r="C32" i="9"/>
  <c r="C21" i="11" s="1"/>
  <c r="C31" i="9"/>
  <c r="C20" i="11" s="1"/>
  <c r="C23" i="9"/>
  <c r="C21" i="9"/>
  <c r="C20" i="9"/>
  <c r="C16" i="9"/>
  <c r="C13" i="9"/>
  <c r="C8" i="9"/>
  <c r="C8" i="11" s="1"/>
  <c r="Q41" i="3"/>
  <c r="R49" i="4"/>
  <c r="Q11" i="3"/>
  <c r="K43" i="3"/>
  <c r="Q52" i="4"/>
  <c r="C37" i="11" l="1"/>
  <c r="K30" i="4"/>
  <c r="P30" i="4" s="1"/>
  <c r="I37" i="4"/>
  <c r="I21" i="4"/>
  <c r="C48" i="9"/>
  <c r="C32" i="11" s="1"/>
  <c r="P11" i="3"/>
  <c r="R11" i="3"/>
  <c r="H26" i="5"/>
  <c r="E78" i="9" s="1"/>
  <c r="E82" i="9" s="1"/>
  <c r="K36" i="4"/>
  <c r="P36" i="4" s="1"/>
  <c r="C41" i="9"/>
  <c r="I52" i="4"/>
  <c r="G24" i="9"/>
  <c r="C11" i="11"/>
  <c r="K24" i="4"/>
  <c r="K37" i="4" s="1"/>
  <c r="C9" i="11"/>
  <c r="E12" i="4"/>
  <c r="G12" i="4" s="1"/>
  <c r="J21" i="4"/>
  <c r="C12" i="11"/>
  <c r="C38" i="11"/>
  <c r="N38" i="11" s="1"/>
  <c r="G37" i="4"/>
  <c r="J49" i="4"/>
  <c r="C10" i="11"/>
  <c r="J41" i="3"/>
  <c r="N37" i="3"/>
  <c r="H38" i="3"/>
  <c r="P12" i="3"/>
  <c r="R12" i="3"/>
  <c r="E15" i="4"/>
  <c r="G15" i="4" s="1"/>
  <c r="P14" i="3"/>
  <c r="R14" i="3"/>
  <c r="N14" i="3"/>
  <c r="N18" i="3"/>
  <c r="R18" i="3"/>
  <c r="P18" i="3"/>
  <c r="L29" i="3"/>
  <c r="E40" i="4" s="1"/>
  <c r="H40" i="4" s="1"/>
  <c r="R15" i="3"/>
  <c r="G36" i="2"/>
  <c r="G32" i="2"/>
  <c r="G31" i="2"/>
  <c r="G25" i="2"/>
  <c r="N31" i="3"/>
  <c r="K45" i="4"/>
  <c r="P45" i="4" s="1"/>
  <c r="C12" i="3"/>
  <c r="C11" i="3"/>
  <c r="C8" i="2"/>
  <c r="C59" i="3"/>
  <c r="C13" i="3" s="1"/>
  <c r="M14" i="4" s="1"/>
  <c r="N35" i="3"/>
  <c r="E46" i="4"/>
  <c r="H18" i="4"/>
  <c r="G18" i="4"/>
  <c r="E14" i="4"/>
  <c r="P13" i="3"/>
  <c r="R13" i="3"/>
  <c r="G40" i="4"/>
  <c r="G42" i="4"/>
  <c r="H42" i="4"/>
  <c r="N30" i="3"/>
  <c r="E41" i="4"/>
  <c r="H44" i="4"/>
  <c r="G44" i="4"/>
  <c r="E43" i="4"/>
  <c r="N32" i="3"/>
  <c r="E24" i="9"/>
  <c r="C14" i="9"/>
  <c r="C24" i="9" s="1"/>
  <c r="P16" i="3"/>
  <c r="R16" i="3"/>
  <c r="N16" i="3"/>
  <c r="G13" i="4"/>
  <c r="H13" i="4"/>
  <c r="N34" i="3"/>
  <c r="H48" i="4"/>
  <c r="K48" i="4" s="1"/>
  <c r="P48" i="4" s="1"/>
  <c r="H20" i="4"/>
  <c r="K20" i="4" s="1"/>
  <c r="E17" i="4"/>
  <c r="H20" i="3"/>
  <c r="L17" i="3"/>
  <c r="L20" i="3" s="1"/>
  <c r="P15" i="3"/>
  <c r="E16" i="4"/>
  <c r="C78" i="9" l="1"/>
  <c r="H15" i="4"/>
  <c r="H12" i="4"/>
  <c r="K12" i="4" s="1"/>
  <c r="J52" i="4"/>
  <c r="P24" i="4"/>
  <c r="P37" i="4" s="1"/>
  <c r="E30" i="9" s="1"/>
  <c r="C30" i="9" s="1"/>
  <c r="C19" i="11" s="1"/>
  <c r="C82" i="9"/>
  <c r="C43" i="11"/>
  <c r="C47" i="11" s="1"/>
  <c r="H41" i="3"/>
  <c r="L38" i="3"/>
  <c r="L41" i="3" s="1"/>
  <c r="N29" i="3"/>
  <c r="N38" i="3" s="1"/>
  <c r="N13" i="3"/>
  <c r="F32" i="2"/>
  <c r="F25" i="2"/>
  <c r="F31" i="2"/>
  <c r="F36" i="2"/>
  <c r="K18" i="4"/>
  <c r="T18" i="4" s="1"/>
  <c r="M12" i="4"/>
  <c r="N11" i="3"/>
  <c r="E50" i="9"/>
  <c r="C50" i="9" s="1"/>
  <c r="C34" i="11" s="1"/>
  <c r="M13" i="4"/>
  <c r="N12" i="3"/>
  <c r="G38" i="2"/>
  <c r="G36" i="9" s="1"/>
  <c r="K44" i="4"/>
  <c r="P44" i="4" s="1"/>
  <c r="E49" i="4"/>
  <c r="K13" i="4"/>
  <c r="R13" i="4" s="1"/>
  <c r="P20" i="4"/>
  <c r="R20" i="4"/>
  <c r="G16" i="4"/>
  <c r="H16" i="4"/>
  <c r="G14" i="4"/>
  <c r="H14" i="4"/>
  <c r="P17" i="3"/>
  <c r="P20" i="3" s="1"/>
  <c r="R17" i="3"/>
  <c r="R20" i="3" s="1"/>
  <c r="N17" i="3"/>
  <c r="R12" i="4"/>
  <c r="P12" i="4"/>
  <c r="T12" i="4"/>
  <c r="K40" i="4"/>
  <c r="G46" i="4"/>
  <c r="H46" i="4"/>
  <c r="H17" i="4"/>
  <c r="G17" i="4"/>
  <c r="E21" i="4"/>
  <c r="G43" i="4"/>
  <c r="H43" i="4"/>
  <c r="G41" i="4"/>
  <c r="H41" i="4"/>
  <c r="K42" i="4"/>
  <c r="P42" i="4" s="1"/>
  <c r="K15" i="4"/>
  <c r="R18" i="4" l="1"/>
  <c r="N20" i="3"/>
  <c r="N41" i="3" s="1"/>
  <c r="R22" i="3"/>
  <c r="P18" i="4"/>
  <c r="N22" i="3"/>
  <c r="H49" i="4"/>
  <c r="E52" i="4"/>
  <c r="T13" i="4"/>
  <c r="P13" i="4"/>
  <c r="H21" i="4"/>
  <c r="T15" i="4"/>
  <c r="P15" i="4"/>
  <c r="R15" i="4"/>
  <c r="K43" i="4"/>
  <c r="P43" i="4" s="1"/>
  <c r="G49" i="4"/>
  <c r="K16" i="4"/>
  <c r="K46" i="4"/>
  <c r="P46" i="4" s="1"/>
  <c r="P40" i="4"/>
  <c r="E28" i="9"/>
  <c r="K41" i="4"/>
  <c r="P41" i="4" s="1"/>
  <c r="K17" i="4"/>
  <c r="K14" i="4"/>
  <c r="G21" i="4"/>
  <c r="P41" i="3"/>
  <c r="R41" i="3"/>
  <c r="G28" i="9"/>
  <c r="H52" i="4" l="1"/>
  <c r="G52" i="4"/>
  <c r="P14" i="4"/>
  <c r="R14" i="4"/>
  <c r="T14" i="4"/>
  <c r="K21" i="4"/>
  <c r="C28" i="9"/>
  <c r="C17" i="11" s="1"/>
  <c r="T16" i="4"/>
  <c r="P16" i="4"/>
  <c r="R16" i="4"/>
  <c r="P17" i="4"/>
  <c r="R17" i="4"/>
  <c r="T17" i="4"/>
  <c r="K49" i="4"/>
  <c r="P49" i="4"/>
  <c r="E51" i="9" l="1"/>
  <c r="E74" i="9" s="1"/>
  <c r="K52" i="4"/>
  <c r="T21" i="4"/>
  <c r="R21" i="4"/>
  <c r="G29" i="9" s="1"/>
  <c r="C73" i="11" s="1"/>
  <c r="C81" i="11" s="1"/>
  <c r="C92" i="11" s="1"/>
  <c r="C95" i="11" s="1"/>
  <c r="C99" i="11" s="1"/>
  <c r="C51" i="9"/>
  <c r="P21" i="4"/>
  <c r="E29" i="9" s="1"/>
  <c r="C74" i="9" l="1"/>
  <c r="C35" i="11"/>
  <c r="C39" i="11" s="1"/>
  <c r="R52" i="4"/>
  <c r="G37" i="9"/>
  <c r="G84" i="9" s="1"/>
  <c r="G87" i="9" s="1"/>
  <c r="G91" i="9" s="1"/>
  <c r="P52" i="4"/>
  <c r="I37" i="9"/>
  <c r="I84" i="9" s="1"/>
  <c r="I87" i="9" s="1"/>
  <c r="T52" i="4"/>
  <c r="I89" i="9" l="1"/>
  <c r="E89" i="9" s="1"/>
  <c r="C29" i="9"/>
  <c r="C18" i="11" s="1"/>
  <c r="E38" i="2"/>
  <c r="F38" i="2"/>
  <c r="E36" i="9" s="1"/>
  <c r="C36" i="9" s="1"/>
  <c r="C25" i="11" s="1"/>
  <c r="C26" i="11" l="1"/>
  <c r="C49" i="11" s="1"/>
  <c r="D49" i="11" s="1"/>
  <c r="C37" i="9"/>
  <c r="I91" i="9"/>
  <c r="E37" i="9"/>
  <c r="E84" i="9" s="1"/>
  <c r="E87" i="9" s="1"/>
  <c r="E91" i="9" s="1"/>
  <c r="C13" i="11"/>
  <c r="C84" i="9" l="1"/>
  <c r="C87" i="9" s="1"/>
  <c r="C91" i="9" s="1"/>
  <c r="C52" i="11"/>
  <c r="C56" i="11" s="1"/>
  <c r="D13" i="11"/>
</calcChain>
</file>

<file path=xl/sharedStrings.xml><?xml version="1.0" encoding="utf-8"?>
<sst xmlns="http://schemas.openxmlformats.org/spreadsheetml/2006/main" count="566" uniqueCount="283">
  <si>
    <t>Budget</t>
  </si>
  <si>
    <t xml:space="preserve">   Dwelling Rentals</t>
  </si>
  <si>
    <t xml:space="preserve">   Other Income</t>
  </si>
  <si>
    <t xml:space="preserve">   Administrative Salaries</t>
  </si>
  <si>
    <t xml:space="preserve">   Auditing</t>
  </si>
  <si>
    <t xml:space="preserve">    Total Administrative Expenses</t>
  </si>
  <si>
    <t xml:space="preserve">   Electricity</t>
  </si>
  <si>
    <t xml:space="preserve">   Gas</t>
  </si>
  <si>
    <t xml:space="preserve">     Total Utilities</t>
  </si>
  <si>
    <t xml:space="preserve">   Maintenance Salaries</t>
  </si>
  <si>
    <t xml:space="preserve">   Materials</t>
  </si>
  <si>
    <t xml:space="preserve">   Contract Costs</t>
  </si>
  <si>
    <t xml:space="preserve">     Total Maintenance</t>
  </si>
  <si>
    <t xml:space="preserve">   Insurance</t>
  </si>
  <si>
    <t xml:space="preserve">   Collection losses</t>
  </si>
  <si>
    <t xml:space="preserve">     Total General Expenses</t>
  </si>
  <si>
    <t xml:space="preserve">         Total Tenant Services</t>
  </si>
  <si>
    <t>Administrative</t>
  </si>
  <si>
    <t>Tenant Services</t>
  </si>
  <si>
    <t>Expenses</t>
  </si>
  <si>
    <t>Utilities</t>
  </si>
  <si>
    <t>Maintenance</t>
  </si>
  <si>
    <t>General</t>
  </si>
  <si>
    <t xml:space="preserve"> OPERATING BUDGET</t>
  </si>
  <si>
    <t xml:space="preserve">   Other Tenant Charges</t>
  </si>
  <si>
    <t xml:space="preserve">   Investment Income</t>
  </si>
  <si>
    <t xml:space="preserve">      Insurance Dividends</t>
  </si>
  <si>
    <t xml:space="preserve">   Benefits</t>
  </si>
  <si>
    <t xml:space="preserve">      Miscellaneous</t>
  </si>
  <si>
    <t>SALARY SCHEDULE</t>
  </si>
  <si>
    <t>Salary</t>
  </si>
  <si>
    <t>Projected</t>
  </si>
  <si>
    <t>MAINTENANCE</t>
  </si>
  <si>
    <t>ADMINISTRATION</t>
  </si>
  <si>
    <t>Voucher</t>
  </si>
  <si>
    <t>EMPLOYEE BENEFITS SCHEDULE</t>
  </si>
  <si>
    <t>Fica/Med</t>
  </si>
  <si>
    <t>Pension</t>
  </si>
  <si>
    <t>Health Ins</t>
  </si>
  <si>
    <t>F</t>
  </si>
  <si>
    <t>S</t>
  </si>
  <si>
    <t>Base</t>
  </si>
  <si>
    <t>Total</t>
  </si>
  <si>
    <t>GRAND TOTAL</t>
  </si>
  <si>
    <t>INSURANCE SCHEDULE</t>
  </si>
  <si>
    <t>Insurance</t>
  </si>
  <si>
    <t>Current</t>
  </si>
  <si>
    <t>Premium</t>
  </si>
  <si>
    <t xml:space="preserve">  Admin</t>
  </si>
  <si>
    <t xml:space="preserve">  Maint</t>
  </si>
  <si>
    <t xml:space="preserve">     Equipment Repairs</t>
  </si>
  <si>
    <t>Section 8</t>
  </si>
  <si>
    <t xml:space="preserve">   Accounting</t>
  </si>
  <si>
    <t xml:space="preserve">   Other Admin</t>
  </si>
  <si>
    <t>OTHER ADMINISTRATIVE EXPENSES</t>
  </si>
  <si>
    <t>Staff Training</t>
  </si>
  <si>
    <t>Travel</t>
  </si>
  <si>
    <t>Membership Dues &amp; Fees</t>
  </si>
  <si>
    <t xml:space="preserve">      Landscaping &amp; Grounds</t>
  </si>
  <si>
    <t xml:space="preserve">      Extermination</t>
  </si>
  <si>
    <t xml:space="preserve">     Other</t>
  </si>
  <si>
    <t xml:space="preserve">   Water</t>
  </si>
  <si>
    <t>Allocation %</t>
  </si>
  <si>
    <t>HCV</t>
  </si>
  <si>
    <t>Total Expenses</t>
  </si>
  <si>
    <t xml:space="preserve">   Telephone &amp; Internet</t>
  </si>
  <si>
    <t xml:space="preserve">      Fraud Recovery</t>
  </si>
  <si>
    <t xml:space="preserve">NAME </t>
  </si>
  <si>
    <t>POSITION</t>
  </si>
  <si>
    <t>TIER</t>
  </si>
  <si>
    <t>TYPE</t>
  </si>
  <si>
    <t>COV</t>
  </si>
  <si>
    <t>TOTAL</t>
  </si>
  <si>
    <t>SALARY</t>
  </si>
  <si>
    <t>Overtime</t>
  </si>
  <si>
    <t>3or4</t>
  </si>
  <si>
    <t xml:space="preserve">      Excess Utilities</t>
  </si>
  <si>
    <t xml:space="preserve">      Heating &amp; Cooling</t>
  </si>
  <si>
    <t xml:space="preserve">   Legal</t>
  </si>
  <si>
    <t>Property</t>
  </si>
  <si>
    <t>HOUSING CHOICE VOUCHER</t>
  </si>
  <si>
    <t>OPERATING SUBSIDY</t>
  </si>
  <si>
    <t>RATE PER UNIT MONTH</t>
  </si>
  <si>
    <t xml:space="preserve">    Conventions</t>
  </si>
  <si>
    <t xml:space="preserve">     Local Mileage</t>
  </si>
  <si>
    <t>Portability Fees Paid</t>
  </si>
  <si>
    <t>LOW INCOME HOUSING</t>
  </si>
  <si>
    <t>See Attached Schedule</t>
  </si>
  <si>
    <t>Workmen's Comp</t>
  </si>
  <si>
    <t>ESTIMATED MONTHLY LEASE UP</t>
  </si>
  <si>
    <t>TOTAL ESTIMATED MONTHLY LEASE UP</t>
  </si>
  <si>
    <t>Comments</t>
  </si>
  <si>
    <t xml:space="preserve">   Recreation &amp; Special Functions</t>
  </si>
  <si>
    <t xml:space="preserve"> PROPOSED OPERATING BUDGET</t>
  </si>
  <si>
    <t xml:space="preserve">Housing Choice </t>
  </si>
  <si>
    <t>Executive Director</t>
  </si>
  <si>
    <t>RETIREES</t>
  </si>
  <si>
    <t>Low Income</t>
  </si>
  <si>
    <t>Housing</t>
  </si>
  <si>
    <t>Capital</t>
  </si>
  <si>
    <t>Fund</t>
  </si>
  <si>
    <t>Dental</t>
  </si>
  <si>
    <t>vision</t>
  </si>
  <si>
    <t>LIH</t>
  </si>
  <si>
    <t xml:space="preserve">   Benefits-Retirees</t>
  </si>
  <si>
    <t>PRORATION %</t>
  </si>
  <si>
    <t>SUBSIDY SCHEDULE</t>
  </si>
  <si>
    <t>Payroll Processing Fees</t>
  </si>
  <si>
    <t>Copy Machine Maintenance</t>
  </si>
  <si>
    <t xml:space="preserve">Forms &amp; Offices supplies </t>
  </si>
  <si>
    <t>Computer &amp; Software Maintenance</t>
  </si>
  <si>
    <t>Office Expenses</t>
  </si>
  <si>
    <t xml:space="preserve">   Spring Water</t>
  </si>
  <si>
    <t xml:space="preserve">   Other</t>
  </si>
  <si>
    <t>Copy Machine Rental</t>
  </si>
  <si>
    <t xml:space="preserve">     Elevator</t>
  </si>
  <si>
    <t xml:space="preserve">         Maintenance Equip</t>
  </si>
  <si>
    <t xml:space="preserve">      Repairs</t>
  </si>
  <si>
    <t xml:space="preserve">         Apartment</t>
  </si>
  <si>
    <t xml:space="preserve">     Trash</t>
  </si>
  <si>
    <t xml:space="preserve">   Fuel Oil</t>
  </si>
  <si>
    <t xml:space="preserve">  Before Transfers</t>
  </si>
  <si>
    <t>Inspections</t>
  </si>
  <si>
    <t>ESTIMATED SUBSIDY</t>
  </si>
  <si>
    <t>ESTIMATED ADMINISTRATIVE SUBSIDY</t>
  </si>
  <si>
    <t>Transfer From Capital Fund Program</t>
  </si>
  <si>
    <t>OPERATIONS</t>
  </si>
  <si>
    <t xml:space="preserve">   Other Postemployment Benefits (OPEB)</t>
  </si>
  <si>
    <t>or Medicare</t>
  </si>
  <si>
    <t>Reimburse</t>
  </si>
  <si>
    <t>Net Income (Loss) from Operations</t>
  </si>
  <si>
    <t>INCOME</t>
  </si>
  <si>
    <t xml:space="preserve">   Total Income</t>
  </si>
  <si>
    <t xml:space="preserve">      Washer/Dryer Commissions</t>
  </si>
  <si>
    <t xml:space="preserve">      Work Orders</t>
  </si>
  <si>
    <t>Tier 3 &amp; 4</t>
  </si>
  <si>
    <t xml:space="preserve">      Port In Fees</t>
  </si>
  <si>
    <t>Publications/Advertising</t>
  </si>
  <si>
    <t xml:space="preserve">      Fire Alarm Inspection &amp; Service Calls</t>
  </si>
  <si>
    <t>P R O P O S E D      S A L A R Y</t>
  </si>
  <si>
    <t>Postage-Pitney Bowes/Fed Ex</t>
  </si>
  <si>
    <t xml:space="preserve">CAPITAL FUND PROGRAM </t>
  </si>
  <si>
    <t xml:space="preserve">   Section 8 Office Rent</t>
  </si>
  <si>
    <t>5,325 x 12</t>
  </si>
  <si>
    <t xml:space="preserve">   Office Rent</t>
  </si>
  <si>
    <t xml:space="preserve">      Vending Income</t>
  </si>
  <si>
    <t xml:space="preserve">      Late Fees</t>
  </si>
  <si>
    <t xml:space="preserve">      Court Fees</t>
  </si>
  <si>
    <t>Rosemary Olsen</t>
  </si>
  <si>
    <t>Margarita Shif</t>
  </si>
  <si>
    <t>Rita Ruiz</t>
  </si>
  <si>
    <t>Tania Collins</t>
  </si>
  <si>
    <t>Rebecca Martinez</t>
  </si>
  <si>
    <t>Renee Jordan</t>
  </si>
  <si>
    <t>CFP</t>
  </si>
  <si>
    <t>Senior Account Clerk</t>
  </si>
  <si>
    <t>Messenger (Part Time)</t>
  </si>
  <si>
    <t>Housing Assistant</t>
  </si>
  <si>
    <t>Clerk</t>
  </si>
  <si>
    <t>Maintainer</t>
  </si>
  <si>
    <t>Maintainer Heloer</t>
  </si>
  <si>
    <t>%</t>
  </si>
  <si>
    <t>Increase</t>
  </si>
  <si>
    <t>Automobile</t>
  </si>
  <si>
    <t>General Liability-Incl Public Officials</t>
  </si>
  <si>
    <t>Tier 5 16.6%</t>
  </si>
  <si>
    <t xml:space="preserve">F </t>
  </si>
  <si>
    <t>R</t>
  </si>
  <si>
    <t>Tier 6 11%</t>
  </si>
  <si>
    <t xml:space="preserve"> per employee</t>
  </si>
  <si>
    <t xml:space="preserve">   Payment in Lieu of Taxes (PILOT)</t>
  </si>
  <si>
    <t>x</t>
  </si>
  <si>
    <t>Bank Fees</t>
  </si>
  <si>
    <t xml:space="preserve">   Operating Subsidy at 100%</t>
  </si>
  <si>
    <t xml:space="preserve">          Monthly</t>
  </si>
  <si>
    <t xml:space="preserve">         Intercom</t>
  </si>
  <si>
    <t xml:space="preserve">         Locksmith</t>
  </si>
  <si>
    <t xml:space="preserve">         Electrical</t>
  </si>
  <si>
    <t xml:space="preserve">         Plumbing</t>
  </si>
  <si>
    <t xml:space="preserve">          Extras-Bed Bugs</t>
  </si>
  <si>
    <t>Protective Services</t>
  </si>
  <si>
    <t>Net Income (Loss)</t>
  </si>
  <si>
    <t>FISCAL YEAR ENDING MARCH 31, 2016</t>
  </si>
  <si>
    <t>Kathleen Amato</t>
  </si>
  <si>
    <t>Maintainer Helper (Part Time)</t>
  </si>
  <si>
    <t>Office Over Time</t>
  </si>
  <si>
    <t>Maintenance Over Time</t>
  </si>
  <si>
    <t>F=1830</t>
  </si>
  <si>
    <t>R=1425/1025/</t>
  </si>
  <si>
    <t>N/A</t>
  </si>
  <si>
    <t>S=825</t>
  </si>
  <si>
    <t>145 per mo</t>
  </si>
  <si>
    <t xml:space="preserve">     /425</t>
  </si>
  <si>
    <t>CY 2015  SUBSIDY ELIGIBILITY</t>
  </si>
  <si>
    <t>45 ports x 12 x $61.65</t>
  </si>
  <si>
    <t>LIH 100% HCV 5,000 x 50% for HHA</t>
  </si>
  <si>
    <t>1,700 x 12</t>
  </si>
  <si>
    <t>Background Checks</t>
  </si>
  <si>
    <t>Evictions (storage)</t>
  </si>
  <si>
    <t xml:space="preserve">         Automobile/Truck</t>
  </si>
  <si>
    <t xml:space="preserve">      Building</t>
  </si>
  <si>
    <t xml:space="preserve">      Appliances</t>
  </si>
  <si>
    <t>Flood</t>
  </si>
  <si>
    <t>Maintenance Helper</t>
  </si>
  <si>
    <t>3 or 4</t>
  </si>
  <si>
    <t>Maintainence Helper</t>
  </si>
  <si>
    <t>Rent Roll  (99,000 x 12)</t>
  </si>
  <si>
    <t>Danasia Reed-Burrell</t>
  </si>
  <si>
    <t>Clerk - seasonal / part-time</t>
  </si>
  <si>
    <t>Clerk - seasonal -part-time</t>
  </si>
  <si>
    <t>Wait list</t>
  </si>
  <si>
    <t>Move-outs</t>
  </si>
  <si>
    <t>Leasing 2-3 per month</t>
  </si>
  <si>
    <t>PIC Corrections and Review (EIV and related corrections)</t>
  </si>
  <si>
    <t>Back-up Cashier</t>
  </si>
  <si>
    <t>Per Month</t>
  </si>
  <si>
    <t>PH</t>
  </si>
  <si>
    <t>Port-in Lease ups</t>
  </si>
  <si>
    <t>Recertifications Parkside Garden Villas (55 tenants)</t>
  </si>
  <si>
    <t>Income Reviews (EIV)</t>
  </si>
  <si>
    <t>Secretary at Board Mtgs</t>
  </si>
  <si>
    <t>Translator</t>
  </si>
  <si>
    <t>Receptionist</t>
  </si>
  <si>
    <t>Sort &amp; Distribute mail</t>
  </si>
  <si>
    <t>Legal advertisements, meeting notices</t>
  </si>
  <si>
    <t>Appointments for ED</t>
  </si>
  <si>
    <t xml:space="preserve">Work Orders </t>
  </si>
  <si>
    <t>Extermination Contract</t>
  </si>
  <si>
    <t>Cashier</t>
  </si>
  <si>
    <t>Applications</t>
  </si>
  <si>
    <t>Recertification</t>
  </si>
  <si>
    <t>Public Housing</t>
  </si>
  <si>
    <t>Tenants</t>
  </si>
  <si>
    <t>DL</t>
  </si>
  <si>
    <t>Direct</t>
  </si>
  <si>
    <t>Direct Labor Hours (DL)</t>
  </si>
  <si>
    <t>Direct Labor hours</t>
  </si>
  <si>
    <t>TOTAL DIRECT LABOR HOURS</t>
  </si>
  <si>
    <t>Section 8 Voucher</t>
  </si>
  <si>
    <t>HAP</t>
  </si>
  <si>
    <t xml:space="preserve">   Office Expense</t>
  </si>
  <si>
    <t>Contracts</t>
  </si>
  <si>
    <t>962,640 Weatherization Grant</t>
  </si>
  <si>
    <t>although she is the receptionist, she also performs other duties while acting as the receptionist</t>
  </si>
  <si>
    <t>Name 1</t>
  </si>
  <si>
    <t>Name 2</t>
  </si>
  <si>
    <t>Name 3</t>
  </si>
  <si>
    <t>Name 4</t>
  </si>
  <si>
    <t>Name 5</t>
  </si>
  <si>
    <t>Name 6</t>
  </si>
  <si>
    <t>Name 7</t>
  </si>
  <si>
    <t>Name 8</t>
  </si>
  <si>
    <t>Maintenance 1</t>
  </si>
  <si>
    <t>Maintenance 2</t>
  </si>
  <si>
    <t>Maintenance 3</t>
  </si>
  <si>
    <t>Maintenance 4</t>
  </si>
  <si>
    <t>Maintenance 5</t>
  </si>
  <si>
    <t>Maintenance 6</t>
  </si>
  <si>
    <t>PUBLIC HOUSING AUTHORITY</t>
  </si>
  <si>
    <t>Retiree 1</t>
  </si>
  <si>
    <t>Retiree 2</t>
  </si>
  <si>
    <t>Retiree 3</t>
  </si>
  <si>
    <t>Retiree 4</t>
  </si>
  <si>
    <t>Retiree 5</t>
  </si>
  <si>
    <t>Retiree 6</t>
  </si>
  <si>
    <t>Retiree 7</t>
  </si>
  <si>
    <t>Retiree 8</t>
  </si>
  <si>
    <t>Retiree 9</t>
  </si>
  <si>
    <t>Retiree 10</t>
  </si>
  <si>
    <t>Retiree 11</t>
  </si>
  <si>
    <t>Retiree 12</t>
  </si>
  <si>
    <t>Retiree 13</t>
  </si>
  <si>
    <t>Maintainence 1</t>
  </si>
  <si>
    <t>Maintainence 2</t>
  </si>
  <si>
    <t>Maintainence 3</t>
  </si>
  <si>
    <t>Maintainence 4</t>
  </si>
  <si>
    <t>Maintainence 5</t>
  </si>
  <si>
    <t>Maintainence 6</t>
  </si>
  <si>
    <t xml:space="preserve">For other expenses, the PHA determined that there were two tyes of expenses included in this category.  The first category are costs that are more alloccable based on the number of tenants involved.  These costs included items such as Forms and Office Supplies which are determined solely by the amount of tenants being processed.  the second category were those costs not directly tied to any particular tenant usage. These costs were allocated based on the normal direct labor formula. Last, some costs are not allocable between programs as they are program specific.  these costs were sijply charged to the program as direct costs.   </t>
  </si>
  <si>
    <t>NAME 5</t>
  </si>
  <si>
    <t>NAME 3's job duties are considered front-line.  However she splits her time between the Public Housing and Vouchers programs.  As outlined in the PIH Supplement, such duties are to be allocated on a reasonable method. Based on internviews with NAME 3 and observations of her work, we have attempted to categorize her work based on actul activities undertaken on a monthly basis.  It should be noted that the recertification work for voucher differs greatly from the recert work for public housing.  Public Housing tenants are primarily seniors living on Social Security or other fixed incomes.  Therefore, the income recertifications are much simpler and most recert work does not involve direct interviews.  HCV, however, always has a face-to-face interview and due to the variability of the tenant's income, the recert process is more extensive for HCV.</t>
  </si>
  <si>
    <t>NAME 5's job descirption is also labeled as a front-line expense.  However she also spends time between PH and Voucher.  On the surface, it would appear that NAME 5'sjob would not involve contact with many voucher tenants, however, voucher tenants are much more likely to come for help as the wait list is larger and more active. She also participated heavily in the application process for potential Voucher tenants.  As with NAME 3, NAME5's allocation was based on interview and observation of job duties.</t>
  </si>
  <si>
    <t>To determine the allocation of the only two non-frontline employees, it was necessary to first determine the number of direct labor hour involved for direct employees.  Two employees are split between the HCV and PH programs.  The analysis of the time charges is included below.  Direct labor hours were determined based on an average of 40 hours per week for 4 weeks a month.  This approximates the normal distribution of hours involved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</si>
</sst>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_(* #,##0_);_(* \(#,##0\);_(* &quot;-&quot;??_);_(@_)"/>
    <numFmt numFmtId="167" formatCode="0_);\(0\)"/>
  </numFmts>
  <fonts count="18" x14ac:knownFonts="1">
    <font>
      <sz val="10"/>
      <name val="MS Sans Serif"/>
    </font>
    <font>
      <sz val="10"/>
      <name val="MS Sans Serif"/>
      <family val="2"/>
    </font>
    <font>
      <b/>
      <u/>
      <sz val="10"/>
      <name val="MS Sans Serif"/>
      <family val="2"/>
    </font>
    <font>
      <u/>
      <sz val="10"/>
      <name val="MS Sans Serif"/>
      <family val="2"/>
    </font>
    <font>
      <b/>
      <sz val="10"/>
      <name val="MS Sans Serif"/>
      <family val="2"/>
    </font>
    <font>
      <sz val="10"/>
      <name val="MS Sans Serif"/>
      <family val="2"/>
    </font>
    <font>
      <sz val="8"/>
      <name val="MS Sans Serif"/>
      <family val="2"/>
    </font>
    <font>
      <sz val="10"/>
      <name val="Arial"/>
      <family val="2"/>
    </font>
    <font>
      <b/>
      <sz val="10"/>
      <name val="Arial"/>
      <family val="2"/>
    </font>
    <font>
      <sz val="11"/>
      <name val="Arial"/>
      <family val="2"/>
    </font>
    <font>
      <b/>
      <u/>
      <sz val="10"/>
      <name val="Arial"/>
      <family val="2"/>
    </font>
    <font>
      <b/>
      <sz val="11"/>
      <name val="Arial"/>
      <family val="2"/>
    </font>
    <font>
      <sz val="11"/>
      <name val="MS Sans Serif"/>
      <family val="2"/>
    </font>
    <font>
      <b/>
      <u/>
      <sz val="11"/>
      <name val="Arial"/>
      <family val="2"/>
    </font>
    <font>
      <sz val="10"/>
      <name val="MS Sans Serif"/>
      <family val="2"/>
    </font>
    <font>
      <sz val="11"/>
      <name val="MS Sans Serif"/>
      <family val="2"/>
    </font>
    <font>
      <b/>
      <sz val="11"/>
      <color rgb="FFFF0000"/>
      <name val="Arial"/>
      <family val="2"/>
    </font>
    <font>
      <b/>
      <sz val="11"/>
      <name val="MS Sans Serif"/>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209">
    <xf numFmtId="0" fontId="0" fillId="0" borderId="0" xfId="0"/>
    <xf numFmtId="0" fontId="0" fillId="0" borderId="0" xfId="0" applyAlignment="1">
      <alignment horizontal="centerContinuous"/>
    </xf>
    <xf numFmtId="0" fontId="2" fillId="0" borderId="0" xfId="0" applyFont="1"/>
    <xf numFmtId="10" fontId="0" fillId="0" borderId="0" xfId="0" applyNumberFormat="1"/>
    <xf numFmtId="3" fontId="0" fillId="0" borderId="0" xfId="0" applyNumberFormat="1"/>
    <xf numFmtId="10" fontId="0" fillId="0" borderId="0" xfId="0" applyNumberFormat="1" applyAlignment="1">
      <alignment horizontal="centerContinuous"/>
    </xf>
    <xf numFmtId="3" fontId="3" fillId="0" borderId="0" xfId="0" applyNumberFormat="1" applyFont="1"/>
    <xf numFmtId="3" fontId="1" fillId="0" borderId="0" xfId="0" applyNumberFormat="1" applyFont="1"/>
    <xf numFmtId="10" fontId="1" fillId="0" borderId="0" xfId="0" applyNumberFormat="1" applyFont="1"/>
    <xf numFmtId="37" fontId="0" fillId="0" borderId="0" xfId="0" applyNumberFormat="1"/>
    <xf numFmtId="37" fontId="3" fillId="0" borderId="0" xfId="0" applyNumberFormat="1" applyFont="1"/>
    <xf numFmtId="10" fontId="0" fillId="0" borderId="0" xfId="0" applyNumberFormat="1" applyAlignment="1">
      <alignment horizontal="center"/>
    </xf>
    <xf numFmtId="10" fontId="3" fillId="0" borderId="0" xfId="0" applyNumberFormat="1" applyFont="1" applyAlignment="1">
      <alignment horizontal="center"/>
    </xf>
    <xf numFmtId="39" fontId="0" fillId="0" borderId="0" xfId="0" applyNumberFormat="1"/>
    <xf numFmtId="0" fontId="4" fillId="0" borderId="0" xfId="0" applyFont="1"/>
    <xf numFmtId="41" fontId="0" fillId="0" borderId="0" xfId="0" applyNumberFormat="1"/>
    <xf numFmtId="0" fontId="5" fillId="0" borderId="0" xfId="0" applyFont="1"/>
    <xf numFmtId="0" fontId="0" fillId="0" borderId="0" xfId="0" applyBorder="1"/>
    <xf numFmtId="39" fontId="0" fillId="0" borderId="0" xfId="0" applyNumberFormat="1" applyBorder="1"/>
    <xf numFmtId="0" fontId="4" fillId="0" borderId="0" xfId="0" applyFont="1" applyBorder="1" applyAlignment="1">
      <alignment horizontal="center"/>
    </xf>
    <xf numFmtId="39" fontId="5" fillId="0" borderId="0" xfId="0" applyNumberFormat="1" applyFont="1"/>
    <xf numFmtId="39" fontId="5" fillId="0" borderId="0" xfId="0" applyNumberFormat="1" applyFont="1" applyAlignment="1">
      <alignment horizontal="right"/>
    </xf>
    <xf numFmtId="0" fontId="0" fillId="0" borderId="0" xfId="0" applyBorder="1" applyAlignment="1">
      <alignment horizontal="right"/>
    </xf>
    <xf numFmtId="39" fontId="0" fillId="0" borderId="0" xfId="0" applyNumberFormat="1" applyBorder="1" applyAlignment="1">
      <alignment horizontal="right"/>
    </xf>
    <xf numFmtId="39" fontId="0" fillId="0" borderId="0" xfId="0" applyNumberFormat="1" applyAlignment="1">
      <alignment horizontal="right"/>
    </xf>
    <xf numFmtId="39" fontId="1" fillId="0" borderId="0" xfId="0" applyNumberFormat="1" applyFont="1" applyBorder="1" applyAlignment="1">
      <alignment horizontal="right"/>
    </xf>
    <xf numFmtId="0" fontId="4" fillId="0" borderId="0" xfId="0" applyFont="1" applyAlignment="1">
      <alignment horizontal="center"/>
    </xf>
    <xf numFmtId="41" fontId="1" fillId="0" borderId="0" xfId="0" applyNumberFormat="1" applyFont="1" applyBorder="1"/>
    <xf numFmtId="0" fontId="8" fillId="0" borderId="0" xfId="0" applyFont="1" applyAlignment="1">
      <alignment horizontal="left" vertical="center"/>
    </xf>
    <xf numFmtId="41" fontId="1" fillId="0" borderId="0" xfId="0" applyNumberFormat="1" applyFont="1"/>
    <xf numFmtId="1" fontId="0" fillId="0" borderId="0" xfId="0" applyNumberFormat="1"/>
    <xf numFmtId="9" fontId="8" fillId="0" borderId="0" xfId="0" applyNumberFormat="1" applyFont="1" applyAlignment="1">
      <alignment horizontal="center" vertical="center"/>
    </xf>
    <xf numFmtId="0" fontId="9" fillId="0" borderId="0" xfId="0" applyFont="1"/>
    <xf numFmtId="0" fontId="7" fillId="0" borderId="0" xfId="0" applyFont="1"/>
    <xf numFmtId="10" fontId="0" fillId="0" borderId="0" xfId="0" applyNumberFormat="1" applyBorder="1"/>
    <xf numFmtId="10" fontId="1" fillId="0" borderId="0" xfId="0" applyNumberFormat="1" applyFont="1" applyBorder="1"/>
    <xf numFmtId="10" fontId="0" fillId="0" borderId="0" xfId="0" applyNumberFormat="1" applyBorder="1" applyAlignment="1">
      <alignment horizontal="centerContinuous"/>
    </xf>
    <xf numFmtId="0" fontId="0" fillId="0" borderId="0" xfId="0" applyBorder="1" applyAlignment="1">
      <alignment horizontal="centerContinuous"/>
    </xf>
    <xf numFmtId="10" fontId="0" fillId="0" borderId="0" xfId="0" applyNumberFormat="1" applyBorder="1" applyAlignment="1">
      <alignment horizontal="center"/>
    </xf>
    <xf numFmtId="10" fontId="3" fillId="0" borderId="0" xfId="0" applyNumberFormat="1" applyFont="1" applyBorder="1" applyAlignment="1">
      <alignment horizontal="center"/>
    </xf>
    <xf numFmtId="3" fontId="0" fillId="0" borderId="0" xfId="0" applyNumberFormat="1" applyBorder="1"/>
    <xf numFmtId="3" fontId="3" fillId="0" borderId="0" xfId="0" applyNumberFormat="1" applyFont="1" applyBorder="1"/>
    <xf numFmtId="0" fontId="8" fillId="0" borderId="0" xfId="0" applyFont="1"/>
    <xf numFmtId="0" fontId="8" fillId="0" borderId="0" xfId="0" applyFont="1" applyAlignment="1">
      <alignment horizontal="center"/>
    </xf>
    <xf numFmtId="0" fontId="7" fillId="0" borderId="0" xfId="0" applyFont="1" applyBorder="1"/>
    <xf numFmtId="3" fontId="8" fillId="0" borderId="0" xfId="0" applyNumberFormat="1" applyFont="1" applyBorder="1" applyAlignment="1">
      <alignment horizontal="center"/>
    </xf>
    <xf numFmtId="10" fontId="8" fillId="0" borderId="0" xfId="0" applyNumberFormat="1"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7" fillId="0" borderId="1" xfId="0" applyFont="1" applyBorder="1"/>
    <xf numFmtId="3" fontId="8" fillId="0" borderId="1" xfId="0" applyNumberFormat="1" applyFont="1" applyBorder="1" applyAlignment="1">
      <alignment horizontal="center"/>
    </xf>
    <xf numFmtId="10" fontId="8" fillId="0" borderId="1" xfId="0" applyNumberFormat="1" applyFont="1" applyBorder="1" applyAlignment="1">
      <alignment horizontal="center"/>
    </xf>
    <xf numFmtId="0" fontId="10" fillId="0" borderId="3" xfId="0" applyFont="1" applyBorder="1"/>
    <xf numFmtId="0" fontId="7" fillId="0" borderId="3" xfId="0" applyFont="1" applyBorder="1"/>
    <xf numFmtId="3" fontId="7" fillId="0" borderId="3" xfId="0" applyNumberFormat="1" applyFont="1" applyBorder="1"/>
    <xf numFmtId="10" fontId="7" fillId="0" borderId="3" xfId="0" applyNumberFormat="1" applyFont="1" applyBorder="1"/>
    <xf numFmtId="42" fontId="7" fillId="0" borderId="3" xfId="0" applyNumberFormat="1" applyFont="1" applyBorder="1"/>
    <xf numFmtId="41" fontId="7" fillId="0" borderId="3" xfId="0" applyNumberFormat="1" applyFont="1" applyBorder="1"/>
    <xf numFmtId="41" fontId="7" fillId="2" borderId="3" xfId="0" applyNumberFormat="1" applyFont="1" applyFill="1" applyBorder="1"/>
    <xf numFmtId="41" fontId="8" fillId="0" borderId="3" xfId="0" applyNumberFormat="1" applyFont="1" applyBorder="1"/>
    <xf numFmtId="0" fontId="8" fillId="0" borderId="3" xfId="0" applyFont="1" applyBorder="1"/>
    <xf numFmtId="41" fontId="7" fillId="0" borderId="0" xfId="0" applyNumberFormat="1" applyFont="1"/>
    <xf numFmtId="37" fontId="7" fillId="0" borderId="0" xfId="0" applyNumberFormat="1" applyFont="1"/>
    <xf numFmtId="41" fontId="7" fillId="0" borderId="0" xfId="0" applyNumberFormat="1" applyFont="1" applyBorder="1"/>
    <xf numFmtId="37" fontId="7" fillId="0" borderId="3" xfId="0" applyNumberFormat="1" applyFont="1" applyBorder="1"/>
    <xf numFmtId="39" fontId="7" fillId="0" borderId="3" xfId="0" applyNumberFormat="1" applyFont="1" applyBorder="1"/>
    <xf numFmtId="3" fontId="8" fillId="0" borderId="0" xfId="0" applyNumberFormat="1" applyFont="1" applyAlignment="1">
      <alignment horizontal="center"/>
    </xf>
    <xf numFmtId="10" fontId="8" fillId="0" borderId="0" xfId="0" applyNumberFormat="1" applyFont="1" applyAlignment="1">
      <alignment horizontal="center"/>
    </xf>
    <xf numFmtId="0" fontId="7" fillId="0" borderId="0" xfId="0" applyFont="1" applyAlignment="1">
      <alignment horizontal="center"/>
    </xf>
    <xf numFmtId="37" fontId="8" fillId="0" borderId="2" xfId="0" applyNumberFormat="1" applyFont="1" applyBorder="1"/>
    <xf numFmtId="37" fontId="8" fillId="0" borderId="0" xfId="0" applyNumberFormat="1" applyFont="1" applyBorder="1"/>
    <xf numFmtId="37" fontId="7" fillId="0" borderId="0" xfId="0" applyNumberFormat="1" applyFont="1" applyBorder="1"/>
    <xf numFmtId="41" fontId="8" fillId="0" borderId="2" xfId="0" applyNumberFormat="1" applyFont="1" applyBorder="1"/>
    <xf numFmtId="41" fontId="8" fillId="0" borderId="0" xfId="0" applyNumberFormat="1" applyFont="1"/>
    <xf numFmtId="37" fontId="8" fillId="0" borderId="0" xfId="0" applyNumberFormat="1" applyFont="1"/>
    <xf numFmtId="0" fontId="7" fillId="0" borderId="0" xfId="0" applyFont="1" applyBorder="1" applyAlignment="1">
      <alignment horizontal="right"/>
    </xf>
    <xf numFmtId="39" fontId="7" fillId="0" borderId="0" xfId="0" applyNumberFormat="1" applyFont="1" applyBorder="1" applyAlignment="1">
      <alignment horizontal="right"/>
    </xf>
    <xf numFmtId="41" fontId="8" fillId="0" borderId="0" xfId="0" applyNumberFormat="1" applyFont="1" applyBorder="1"/>
    <xf numFmtId="0" fontId="7" fillId="0" borderId="1" xfId="0" applyFont="1" applyBorder="1" applyAlignment="1">
      <alignment horizontal="right"/>
    </xf>
    <xf numFmtId="9" fontId="7" fillId="0" borderId="1" xfId="0" applyNumberFormat="1" applyFont="1" applyFill="1" applyBorder="1"/>
    <xf numFmtId="37" fontId="8" fillId="0" borderId="4" xfId="0" applyNumberFormat="1" applyFont="1" applyBorder="1"/>
    <xf numFmtId="37" fontId="8" fillId="0" borderId="5" xfId="0" applyNumberFormat="1" applyFont="1" applyBorder="1"/>
    <xf numFmtId="37" fontId="7" fillId="0" borderId="1" xfId="0" applyNumberFormat="1" applyFont="1" applyBorder="1"/>
    <xf numFmtId="0" fontId="7" fillId="0" borderId="6" xfId="0" applyFont="1" applyBorder="1" applyAlignment="1"/>
    <xf numFmtId="0" fontId="7" fillId="0" borderId="7" xfId="0" applyFont="1" applyBorder="1" applyAlignment="1"/>
    <xf numFmtId="0" fontId="8" fillId="0" borderId="0" xfId="0" applyFont="1" applyAlignment="1">
      <alignment horizontal="center"/>
    </xf>
    <xf numFmtId="0" fontId="9" fillId="0" borderId="0" xfId="0" applyFont="1" applyAlignment="1">
      <alignment horizontal="left" vertical="center"/>
    </xf>
    <xf numFmtId="37" fontId="8" fillId="0" borderId="3" xfId="0" applyNumberFormat="1" applyFont="1" applyBorder="1"/>
    <xf numFmtId="0" fontId="7" fillId="0" borderId="8" xfId="0" applyFont="1" applyBorder="1"/>
    <xf numFmtId="0" fontId="8" fillId="0" borderId="8" xfId="0" applyFont="1" applyBorder="1" applyAlignment="1">
      <alignment horizontal="center"/>
    </xf>
    <xf numFmtId="0" fontId="8" fillId="0" borderId="9" xfId="0" applyFont="1" applyBorder="1" applyAlignment="1">
      <alignment horizontal="center"/>
    </xf>
    <xf numFmtId="0" fontId="7" fillId="0" borderId="10" xfId="0" applyFont="1" applyBorder="1"/>
    <xf numFmtId="0" fontId="7" fillId="0" borderId="11" xfId="0" applyFont="1" applyBorder="1"/>
    <xf numFmtId="0" fontId="8" fillId="0" borderId="10" xfId="0" applyFont="1" applyBorder="1" applyAlignment="1">
      <alignment horizontal="center"/>
    </xf>
    <xf numFmtId="0" fontId="8" fillId="0" borderId="11" xfId="0" applyFont="1" applyBorder="1" applyAlignment="1">
      <alignment horizontal="center"/>
    </xf>
    <xf numFmtId="10" fontId="8" fillId="0" borderId="10" xfId="0" applyNumberFormat="1" applyFont="1" applyBorder="1" applyAlignment="1">
      <alignment horizontal="center"/>
    </xf>
    <xf numFmtId="10" fontId="8" fillId="0" borderId="11" xfId="0" applyNumberFormat="1" applyFont="1" applyBorder="1" applyAlignment="1">
      <alignment horizontal="center"/>
    </xf>
    <xf numFmtId="0" fontId="8" fillId="0" borderId="0" xfId="0" applyFont="1" applyAlignment="1">
      <alignment horizontal="center"/>
    </xf>
    <xf numFmtId="0" fontId="1" fillId="0" borderId="0" xfId="0" applyFont="1"/>
    <xf numFmtId="37" fontId="8" fillId="0" borderId="0" xfId="0" applyNumberFormat="1" applyFont="1" applyAlignment="1">
      <alignment vertical="center"/>
    </xf>
    <xf numFmtId="0" fontId="8" fillId="0" borderId="0" xfId="0" applyFont="1" applyAlignment="1">
      <alignment horizontal="center"/>
    </xf>
    <xf numFmtId="3" fontId="11" fillId="0" borderId="0" xfId="0" applyNumberFormat="1" applyFont="1" applyAlignment="1">
      <alignment horizontal="center"/>
    </xf>
    <xf numFmtId="10" fontId="11" fillId="0" borderId="0" xfId="0" applyNumberFormat="1" applyFont="1" applyAlignment="1">
      <alignment horizontal="center"/>
    </xf>
    <xf numFmtId="0" fontId="12" fillId="0" borderId="0" xfId="0" applyFont="1"/>
    <xf numFmtId="0" fontId="11" fillId="0" borderId="0" xfId="0" applyFont="1" applyAlignment="1"/>
    <xf numFmtId="17" fontId="11" fillId="0" borderId="0" xfId="0" applyNumberFormat="1" applyFont="1" applyAlignment="1">
      <alignment horizontal="center"/>
    </xf>
    <xf numFmtId="0" fontId="11" fillId="0" borderId="0" xfId="0" applyFont="1" applyAlignment="1">
      <alignment horizontal="center"/>
    </xf>
    <xf numFmtId="0" fontId="11" fillId="0" borderId="1" xfId="0" applyFont="1" applyBorder="1" applyAlignment="1">
      <alignment horizontal="center"/>
    </xf>
    <xf numFmtId="3" fontId="11" fillId="0" borderId="1" xfId="0" applyNumberFormat="1" applyFont="1" applyBorder="1" applyAlignment="1">
      <alignment horizontal="center"/>
    </xf>
    <xf numFmtId="164" fontId="11" fillId="0" borderId="1" xfId="0" applyNumberFormat="1" applyFont="1" applyBorder="1" applyAlignment="1">
      <alignment horizontal="center"/>
    </xf>
    <xf numFmtId="10" fontId="11" fillId="0" borderId="1" xfId="0" applyNumberFormat="1" applyFont="1" applyBorder="1" applyAlignment="1">
      <alignment horizontal="center"/>
    </xf>
    <xf numFmtId="0" fontId="13" fillId="0" borderId="0" xfId="0" applyFont="1"/>
    <xf numFmtId="37" fontId="9" fillId="0" borderId="0" xfId="0" applyNumberFormat="1" applyFont="1"/>
    <xf numFmtId="41" fontId="9" fillId="0" borderId="0" xfId="0" applyNumberFormat="1" applyFont="1"/>
    <xf numFmtId="0" fontId="11" fillId="0" borderId="0" xfId="0" applyFont="1"/>
    <xf numFmtId="9" fontId="11" fillId="0" borderId="0" xfId="0" applyNumberFormat="1" applyFont="1"/>
    <xf numFmtId="9" fontId="9" fillId="0" borderId="0" xfId="0" applyNumberFormat="1" applyFont="1" applyAlignment="1">
      <alignment horizontal="center"/>
    </xf>
    <xf numFmtId="37" fontId="9" fillId="0" borderId="0" xfId="0" applyNumberFormat="1" applyFont="1" applyAlignment="1">
      <alignment horizontal="center"/>
    </xf>
    <xf numFmtId="41" fontId="11" fillId="0" borderId="2" xfId="0" applyNumberFormat="1" applyFont="1" applyBorder="1"/>
    <xf numFmtId="41" fontId="11" fillId="0" borderId="3" xfId="0" applyNumberFormat="1" applyFont="1" applyBorder="1"/>
    <xf numFmtId="0" fontId="11" fillId="0" borderId="0" xfId="0" applyFont="1" applyAlignment="1">
      <alignment horizontal="left" vertical="center"/>
    </xf>
    <xf numFmtId="9" fontId="11" fillId="0" borderId="0" xfId="0" applyNumberFormat="1" applyFont="1" applyAlignment="1">
      <alignment horizontal="center" vertical="center"/>
    </xf>
    <xf numFmtId="37" fontId="9" fillId="0" borderId="0" xfId="0" applyNumberFormat="1" applyFont="1" applyAlignment="1">
      <alignment horizontal="center" vertical="center"/>
    </xf>
    <xf numFmtId="41" fontId="11" fillId="0" borderId="0" xfId="0" applyNumberFormat="1" applyFont="1" applyBorder="1"/>
    <xf numFmtId="9" fontId="11" fillId="0" borderId="0" xfId="0" applyNumberFormat="1" applyFont="1" applyAlignment="1">
      <alignment horizontal="right" vertical="center"/>
    </xf>
    <xf numFmtId="37" fontId="9" fillId="0" borderId="0" xfId="0" applyNumberFormat="1" applyFont="1" applyAlignment="1">
      <alignment horizontal="right" vertical="center"/>
    </xf>
    <xf numFmtId="41" fontId="9" fillId="0" borderId="0" xfId="0" applyNumberFormat="1" applyFont="1" applyAlignment="1">
      <alignment horizontal="left" wrapText="1"/>
    </xf>
    <xf numFmtId="41" fontId="9" fillId="0" borderId="0" xfId="0" applyNumberFormat="1" applyFont="1" applyBorder="1"/>
    <xf numFmtId="41" fontId="11" fillId="0" borderId="0" xfId="0" applyNumberFormat="1" applyFont="1"/>
    <xf numFmtId="41" fontId="9" fillId="0" borderId="2" xfId="0" applyNumberFormat="1" applyFont="1" applyBorder="1"/>
    <xf numFmtId="165" fontId="9" fillId="0" borderId="0" xfId="0" applyNumberFormat="1" applyFont="1"/>
    <xf numFmtId="165" fontId="9" fillId="0" borderId="0" xfId="0" applyNumberFormat="1" applyFont="1" applyAlignment="1">
      <alignment horizontal="center"/>
    </xf>
    <xf numFmtId="165" fontId="9" fillId="0" borderId="0" xfId="0" applyNumberFormat="1" applyFont="1" applyAlignment="1">
      <alignment horizontal="center" vertical="center"/>
    </xf>
    <xf numFmtId="166" fontId="9" fillId="0" borderId="0" xfId="0" applyNumberFormat="1" applyFont="1"/>
    <xf numFmtId="166" fontId="8" fillId="0" borderId="0" xfId="0" applyNumberFormat="1" applyFont="1"/>
    <xf numFmtId="0" fontId="9" fillId="0" borderId="1" xfId="0" applyFont="1" applyBorder="1" applyAlignment="1">
      <alignment horizontal="center"/>
    </xf>
    <xf numFmtId="9" fontId="7" fillId="0" borderId="0" xfId="0" applyNumberFormat="1" applyFont="1"/>
    <xf numFmtId="9" fontId="7" fillId="0" borderId="0" xfId="0" applyNumberFormat="1" applyFont="1" applyAlignment="1">
      <alignment horizontal="right" vertical="center"/>
    </xf>
    <xf numFmtId="37" fontId="7" fillId="0" borderId="2" xfId="0" applyNumberFormat="1" applyFont="1" applyBorder="1"/>
    <xf numFmtId="0" fontId="8" fillId="0" borderId="0" xfId="0" applyFont="1" applyAlignment="1">
      <alignment horizontal="center"/>
    </xf>
    <xf numFmtId="0" fontId="11" fillId="0" borderId="0" xfId="0" applyFont="1" applyAlignment="1">
      <alignment horizontal="center"/>
    </xf>
    <xf numFmtId="0" fontId="8" fillId="0" borderId="0" xfId="0" applyFont="1" applyBorder="1" applyAlignment="1">
      <alignment horizontal="center"/>
    </xf>
    <xf numFmtId="0" fontId="0" fillId="0" borderId="8" xfId="0" applyBorder="1"/>
    <xf numFmtId="0" fontId="11" fillId="0" borderId="0" xfId="0" applyFont="1" applyBorder="1" applyAlignment="1">
      <alignment horizontal="center"/>
    </xf>
    <xf numFmtId="10" fontId="11" fillId="0" borderId="0" xfId="0" applyNumberFormat="1" applyFont="1" applyBorder="1" applyAlignment="1">
      <alignment horizontal="center"/>
    </xf>
    <xf numFmtId="167" fontId="11" fillId="0" borderId="0" xfId="0" applyNumberFormat="1" applyFont="1" applyAlignment="1">
      <alignment horizontal="center"/>
    </xf>
    <xf numFmtId="0" fontId="8" fillId="0" borderId="1" xfId="0" applyFont="1" applyBorder="1" applyAlignment="1">
      <alignment horizontal="center"/>
    </xf>
    <xf numFmtId="0" fontId="15" fillId="0" borderId="1" xfId="0" applyFont="1" applyBorder="1" applyAlignment="1">
      <alignment horizontal="center"/>
    </xf>
    <xf numFmtId="0" fontId="12" fillId="0" borderId="1" xfId="0" applyFont="1" applyBorder="1" applyAlignment="1">
      <alignment horizontal="center"/>
    </xf>
    <xf numFmtId="0" fontId="1" fillId="0" borderId="1" xfId="0" applyFont="1" applyBorder="1"/>
    <xf numFmtId="9" fontId="1" fillId="0" borderId="0" xfId="1" applyFont="1"/>
    <xf numFmtId="0" fontId="0" fillId="0" borderId="1" xfId="0" applyBorder="1"/>
    <xf numFmtId="9" fontId="0" fillId="0" borderId="0" xfId="1" applyFont="1"/>
    <xf numFmtId="9" fontId="9" fillId="0" borderId="0" xfId="1" applyFont="1"/>
    <xf numFmtId="9" fontId="11" fillId="0" borderId="0" xfId="1" applyFont="1"/>
    <xf numFmtId="166" fontId="7" fillId="0" borderId="0" xfId="2" applyNumberFormat="1" applyFont="1"/>
    <xf numFmtId="9" fontId="7" fillId="0" borderId="0" xfId="1" applyFont="1"/>
    <xf numFmtId="166" fontId="8" fillId="0" borderId="0" xfId="2" applyNumberFormat="1" applyFont="1"/>
    <xf numFmtId="10" fontId="0" fillId="0" borderId="0" xfId="1" applyNumberFormat="1" applyFont="1"/>
    <xf numFmtId="41" fontId="7" fillId="3" borderId="3" xfId="0" applyNumberFormat="1" applyFont="1" applyFill="1" applyBorder="1"/>
    <xf numFmtId="42" fontId="0" fillId="0" borderId="0" xfId="0" applyNumberFormat="1"/>
    <xf numFmtId="44" fontId="0" fillId="0" borderId="0" xfId="0" applyNumberFormat="1"/>
    <xf numFmtId="43" fontId="7" fillId="0" borderId="3" xfId="2" applyFont="1" applyBorder="1"/>
    <xf numFmtId="9" fontId="16" fillId="0" borderId="0" xfId="1" applyFont="1"/>
    <xf numFmtId="0" fontId="16" fillId="0" borderId="0" xfId="0" applyFont="1"/>
    <xf numFmtId="0" fontId="17" fillId="0" borderId="0" xfId="0" applyFont="1"/>
    <xf numFmtId="41" fontId="9" fillId="0" borderId="1" xfId="0" applyNumberFormat="1" applyFont="1" applyBorder="1"/>
    <xf numFmtId="0" fontId="8" fillId="0" borderId="1" xfId="0" applyNumberFormat="1" applyFont="1" applyBorder="1" applyAlignment="1">
      <alignment horizontal="center"/>
    </xf>
    <xf numFmtId="166" fontId="7" fillId="0" borderId="3" xfId="2" applyNumberFormat="1" applyFont="1" applyBorder="1"/>
    <xf numFmtId="0" fontId="8" fillId="0" borderId="11" xfId="0" applyNumberFormat="1" applyFont="1" applyBorder="1" applyAlignment="1">
      <alignment horizontal="center"/>
    </xf>
    <xf numFmtId="166" fontId="7" fillId="2" borderId="3" xfId="2" applyNumberFormat="1" applyFont="1" applyFill="1" applyBorder="1"/>
    <xf numFmtId="166" fontId="8" fillId="0" borderId="3" xfId="2" applyNumberFormat="1" applyFont="1" applyBorder="1"/>
    <xf numFmtId="166" fontId="7" fillId="0" borderId="0" xfId="2" applyNumberFormat="1" applyFont="1" applyBorder="1"/>
    <xf numFmtId="166" fontId="1" fillId="0" borderId="0" xfId="2" applyNumberFormat="1" applyFont="1"/>
    <xf numFmtId="166" fontId="8" fillId="0" borderId="0" xfId="2" applyNumberFormat="1" applyFont="1" applyAlignment="1">
      <alignment horizontal="center"/>
    </xf>
    <xf numFmtId="166" fontId="8" fillId="0" borderId="1" xfId="2" applyNumberFormat="1" applyFont="1" applyBorder="1" applyAlignment="1">
      <alignment horizontal="center"/>
    </xf>
    <xf numFmtId="0" fontId="8" fillId="0" borderId="0" xfId="0" applyFont="1" applyAlignment="1">
      <alignment horizontal="right"/>
    </xf>
    <xf numFmtId="0" fontId="7" fillId="0" borderId="3" xfId="0" applyFont="1" applyBorder="1" applyAlignment="1">
      <alignment horizontal="right"/>
    </xf>
    <xf numFmtId="41" fontId="7" fillId="0" borderId="3" xfId="0" applyNumberFormat="1" applyFont="1" applyBorder="1" applyAlignment="1">
      <alignment horizontal="right"/>
    </xf>
    <xf numFmtId="0" fontId="7" fillId="0" borderId="3" xfId="0" applyNumberFormat="1" applyFont="1" applyBorder="1" applyAlignment="1">
      <alignment horizontal="right"/>
    </xf>
    <xf numFmtId="41" fontId="7" fillId="0" borderId="0" xfId="0" applyNumberFormat="1" applyFont="1" applyAlignment="1">
      <alignment horizontal="right"/>
    </xf>
    <xf numFmtId="39" fontId="7" fillId="0" borderId="3" xfId="0" applyNumberFormat="1" applyFont="1" applyBorder="1" applyAlignment="1">
      <alignment horizontal="right"/>
    </xf>
    <xf numFmtId="0" fontId="0" fillId="0" borderId="0" xfId="0" applyAlignment="1">
      <alignment horizontal="right"/>
    </xf>
    <xf numFmtId="166" fontId="7" fillId="3" borderId="3" xfId="2" applyNumberFormat="1" applyFont="1" applyFill="1" applyBorder="1"/>
    <xf numFmtId="43" fontId="7" fillId="0" borderId="3" xfId="0" applyNumberFormat="1" applyFont="1" applyBorder="1"/>
    <xf numFmtId="0" fontId="0" fillId="0" borderId="0" xfId="0" applyAlignment="1">
      <alignment wrapText="1"/>
    </xf>
    <xf numFmtId="0" fontId="9" fillId="3" borderId="0" xfId="0" applyFont="1" applyFill="1"/>
    <xf numFmtId="9" fontId="11" fillId="3" borderId="0" xfId="0" applyNumberFormat="1" applyFont="1" applyFill="1"/>
    <xf numFmtId="9" fontId="11" fillId="3" borderId="0" xfId="0" applyNumberFormat="1" applyFont="1" applyFill="1" applyAlignment="1">
      <alignment horizontal="right" vertical="center"/>
    </xf>
    <xf numFmtId="0" fontId="9" fillId="4" borderId="0" xfId="0" applyFont="1" applyFill="1"/>
    <xf numFmtId="9" fontId="11" fillId="4" borderId="0" xfId="0" applyNumberFormat="1" applyFont="1" applyFill="1"/>
    <xf numFmtId="9" fontId="11" fillId="4" borderId="0" xfId="0" applyNumberFormat="1" applyFont="1" applyFill="1" applyAlignment="1">
      <alignment horizontal="right" vertical="center"/>
    </xf>
    <xf numFmtId="0" fontId="7" fillId="0" borderId="6" xfId="0" applyFont="1" applyBorder="1" applyAlignment="1">
      <alignment horizontal="left"/>
    </xf>
    <xf numFmtId="0" fontId="7" fillId="0" borderId="7" xfId="0" applyFont="1" applyBorder="1" applyAlignment="1">
      <alignment horizontal="left"/>
    </xf>
    <xf numFmtId="0" fontId="8" fillId="0" borderId="0" xfId="0" applyFont="1" applyAlignment="1">
      <alignment horizontal="center"/>
    </xf>
    <xf numFmtId="0" fontId="8" fillId="0" borderId="1" xfId="0" applyFont="1" applyBorder="1" applyAlignment="1">
      <alignment horizontal="center"/>
    </xf>
    <xf numFmtId="0" fontId="12"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center" wrapText="1"/>
    </xf>
    <xf numFmtId="0" fontId="0" fillId="0" borderId="0" xfId="0" applyAlignment="1">
      <alignment horizontal="center" wrapText="1"/>
    </xf>
    <xf numFmtId="0" fontId="11" fillId="0" borderId="6" xfId="0" applyFont="1" applyBorder="1" applyAlignment="1">
      <alignment horizontal="center"/>
    </xf>
    <xf numFmtId="0" fontId="11" fillId="0" borderId="2" xfId="0" applyFont="1" applyBorder="1" applyAlignment="1">
      <alignment horizontal="center"/>
    </xf>
    <xf numFmtId="0" fontId="11" fillId="0" borderId="7" xfId="0" applyFont="1" applyBorder="1" applyAlignment="1">
      <alignment horizontal="center"/>
    </xf>
    <xf numFmtId="0" fontId="11" fillId="0" borderId="0" xfId="0" applyFont="1" applyAlignment="1">
      <alignment horizontal="center"/>
    </xf>
    <xf numFmtId="0" fontId="9" fillId="0" borderId="0" xfId="0" applyFont="1" applyAlignment="1">
      <alignment horizontal="left" vertical="top" wrapText="1"/>
    </xf>
    <xf numFmtId="0" fontId="8" fillId="0" borderId="0" xfId="0" applyFont="1" applyBorder="1" applyAlignment="1">
      <alignment horizontal="center"/>
    </xf>
    <xf numFmtId="39" fontId="0" fillId="0" borderId="0" xfId="0" applyNumberFormat="1" applyAlignment="1">
      <alignment horizontal="left" vertical="top" wrapText="1"/>
    </xf>
    <xf numFmtId="41" fontId="8" fillId="0" borderId="0" xfId="0" applyNumberFormat="1" applyFont="1" applyAlignment="1">
      <alignment horizontal="center" vertical="center"/>
    </xf>
    <xf numFmtId="41" fontId="8" fillId="0" borderId="1" xfId="0" applyNumberFormat="1" applyFont="1" applyBorder="1" applyAlignment="1">
      <alignment horizontal="center" vertical="center"/>
    </xf>
  </cellXfs>
  <cellStyles count="3">
    <cellStyle name="Comma" xfId="2" builtin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53"/>
  <sheetViews>
    <sheetView zoomScale="150" zoomScaleNormal="150" zoomScalePageLayoutView="125" workbookViewId="0">
      <selection activeCell="I17" sqref="I17"/>
    </sheetView>
  </sheetViews>
  <sheetFormatPr defaultColWidth="8.7109375" defaultRowHeight="12.75" x14ac:dyDescent="0.2"/>
  <cols>
    <col min="2" max="2" width="26.28515625" customWidth="1"/>
    <col min="3" max="3" width="11.85546875" bestFit="1" customWidth="1"/>
    <col min="4" max="4" width="2.85546875" customWidth="1"/>
    <col min="5" max="5" width="12.140625" bestFit="1" customWidth="1"/>
    <col min="6" max="6" width="2.42578125" customWidth="1"/>
    <col min="7" max="7" width="15.85546875" style="3" bestFit="1" customWidth="1"/>
    <col min="8" max="8" width="2.28515625" style="3" customWidth="1"/>
    <col min="9" max="9" width="9.85546875" style="3" bestFit="1" customWidth="1"/>
    <col min="10" max="10" width="2.42578125" style="3" customWidth="1"/>
    <col min="11" max="11" width="29" customWidth="1"/>
    <col min="13" max="13" width="11.28515625" bestFit="1" customWidth="1"/>
  </cols>
  <sheetData>
    <row r="1" spans="1:45" x14ac:dyDescent="0.2">
      <c r="A1" s="194" t="s">
        <v>258</v>
      </c>
      <c r="B1" s="194"/>
      <c r="C1" s="194"/>
      <c r="D1" s="194"/>
      <c r="E1" s="194"/>
      <c r="F1" s="194"/>
      <c r="G1" s="194"/>
      <c r="H1" s="194"/>
      <c r="I1" s="194"/>
      <c r="J1" s="194"/>
      <c r="K1" s="194"/>
    </row>
    <row r="2" spans="1:45" x14ac:dyDescent="0.2">
      <c r="A2" s="194" t="s">
        <v>23</v>
      </c>
      <c r="B2" s="194"/>
      <c r="C2" s="194"/>
      <c r="D2" s="194"/>
      <c r="E2" s="194"/>
      <c r="F2" s="194"/>
      <c r="G2" s="194"/>
      <c r="H2" s="194"/>
      <c r="I2" s="194"/>
      <c r="J2" s="194"/>
      <c r="K2" s="194"/>
    </row>
    <row r="3" spans="1:45" x14ac:dyDescent="0.2">
      <c r="A3" s="195" t="s">
        <v>182</v>
      </c>
      <c r="B3" s="195"/>
      <c r="C3" s="195"/>
      <c r="D3" s="195"/>
      <c r="E3" s="195"/>
      <c r="F3" s="195"/>
      <c r="G3" s="195"/>
      <c r="H3" s="195"/>
      <c r="I3" s="195"/>
      <c r="J3" s="195"/>
      <c r="K3" s="195"/>
    </row>
    <row r="4" spans="1:45" x14ac:dyDescent="0.2">
      <c r="A4" s="33"/>
      <c r="B4" s="33"/>
      <c r="C4" s="88"/>
      <c r="D4" s="91"/>
      <c r="E4" s="45"/>
      <c r="F4" s="91"/>
      <c r="G4" s="46" t="s">
        <v>51</v>
      </c>
      <c r="H4" s="95"/>
      <c r="I4" s="46"/>
      <c r="J4" s="95"/>
      <c r="K4" s="43"/>
      <c r="L4" s="142"/>
    </row>
    <row r="5" spans="1:45" x14ac:dyDescent="0.2">
      <c r="A5" s="33"/>
      <c r="B5" s="33"/>
      <c r="C5" s="89" t="s">
        <v>42</v>
      </c>
      <c r="D5" s="91"/>
      <c r="E5" s="45" t="s">
        <v>97</v>
      </c>
      <c r="F5" s="93"/>
      <c r="G5" s="46" t="s">
        <v>94</v>
      </c>
      <c r="H5" s="95"/>
      <c r="I5" s="46" t="s">
        <v>99</v>
      </c>
      <c r="J5" s="95"/>
      <c r="K5" s="43"/>
      <c r="L5" s="142"/>
    </row>
    <row r="6" spans="1:45" x14ac:dyDescent="0.2">
      <c r="A6" s="33"/>
      <c r="B6" s="33"/>
      <c r="C6" s="90" t="s">
        <v>0</v>
      </c>
      <c r="D6" s="92"/>
      <c r="E6" s="50" t="s">
        <v>98</v>
      </c>
      <c r="F6" s="94"/>
      <c r="G6" s="51" t="s">
        <v>34</v>
      </c>
      <c r="H6" s="96"/>
      <c r="I6" s="51" t="s">
        <v>100</v>
      </c>
      <c r="J6" s="96"/>
      <c r="K6" s="48" t="s">
        <v>91</v>
      </c>
      <c r="L6" s="142"/>
    </row>
    <row r="7" spans="1:45" x14ac:dyDescent="0.2">
      <c r="A7" s="52" t="s">
        <v>131</v>
      </c>
      <c r="B7" s="53"/>
      <c r="C7" s="53"/>
      <c r="D7" s="53"/>
      <c r="E7" s="54"/>
      <c r="F7" s="53"/>
      <c r="G7" s="55"/>
      <c r="H7" s="55"/>
      <c r="I7" s="55"/>
      <c r="J7" s="55"/>
      <c r="K7" s="53"/>
    </row>
    <row r="8" spans="1:45" x14ac:dyDescent="0.2">
      <c r="A8" s="53" t="s">
        <v>1</v>
      </c>
      <c r="B8" s="53"/>
      <c r="C8" s="56">
        <f>SUM(E8:J8)</f>
        <v>1188000</v>
      </c>
      <c r="D8" s="56" t="s">
        <v>171</v>
      </c>
      <c r="E8" s="56">
        <f>99000*12</f>
        <v>1188000</v>
      </c>
      <c r="F8" s="56"/>
      <c r="G8" s="56">
        <v>0</v>
      </c>
      <c r="H8" s="56"/>
      <c r="I8" s="56">
        <v>0</v>
      </c>
      <c r="J8" s="56"/>
      <c r="K8" s="57" t="s">
        <v>206</v>
      </c>
      <c r="L8" s="4"/>
      <c r="M8" s="4"/>
      <c r="N8" s="4"/>
      <c r="O8" s="4"/>
      <c r="P8" s="4"/>
      <c r="Q8" s="4"/>
      <c r="R8" s="4"/>
      <c r="U8" s="4"/>
      <c r="V8" s="4"/>
      <c r="W8" s="4"/>
      <c r="X8" s="4"/>
      <c r="Y8" s="4"/>
      <c r="Z8" s="4"/>
      <c r="AA8" s="4"/>
      <c r="AB8" s="4"/>
      <c r="AC8" s="4"/>
      <c r="AD8" s="4"/>
      <c r="AE8" s="4"/>
      <c r="AF8" s="4"/>
      <c r="AG8" s="4"/>
      <c r="AH8" s="4"/>
      <c r="AI8" s="4"/>
      <c r="AJ8" s="4"/>
      <c r="AK8" s="4"/>
      <c r="AL8" s="4"/>
      <c r="AM8" s="4"/>
      <c r="AN8" s="4"/>
      <c r="AO8" s="4"/>
      <c r="AP8" s="4"/>
      <c r="AQ8" s="4"/>
      <c r="AR8" s="4"/>
      <c r="AS8" s="4"/>
    </row>
    <row r="9" spans="1:45" x14ac:dyDescent="0.2">
      <c r="A9" s="53" t="s">
        <v>24</v>
      </c>
      <c r="B9" s="53"/>
      <c r="C9" s="57"/>
      <c r="D9" s="57"/>
      <c r="E9" s="57"/>
      <c r="F9" s="57"/>
      <c r="G9" s="55"/>
      <c r="H9" s="55"/>
      <c r="I9" s="55"/>
      <c r="J9" s="55"/>
      <c r="K9" s="57"/>
      <c r="L9" s="4"/>
      <c r="M9" s="4"/>
      <c r="N9" s="4"/>
      <c r="O9" s="4"/>
      <c r="P9" s="4"/>
      <c r="Q9" s="4"/>
      <c r="R9" s="4"/>
      <c r="U9" s="4"/>
      <c r="V9" s="4"/>
      <c r="W9" s="4"/>
      <c r="X9" s="4"/>
      <c r="Y9" s="4"/>
      <c r="Z9" s="4"/>
      <c r="AA9" s="4"/>
      <c r="AB9" s="4"/>
      <c r="AC9" s="4"/>
      <c r="AD9" s="4"/>
      <c r="AE9" s="4"/>
      <c r="AF9" s="4"/>
      <c r="AG9" s="4"/>
      <c r="AH9" s="4"/>
      <c r="AI9" s="4"/>
      <c r="AJ9" s="4"/>
      <c r="AK9" s="4"/>
      <c r="AL9" s="4"/>
      <c r="AM9" s="4"/>
      <c r="AN9" s="4"/>
      <c r="AO9" s="4"/>
      <c r="AP9" s="4"/>
      <c r="AQ9" s="4"/>
      <c r="AR9" s="4"/>
      <c r="AS9" s="4"/>
    </row>
    <row r="10" spans="1:45" x14ac:dyDescent="0.2">
      <c r="A10" s="53" t="s">
        <v>76</v>
      </c>
      <c r="B10" s="53"/>
      <c r="C10" s="57">
        <f t="shared" ref="C10:C16" si="0">SUM(E10:J10)</f>
        <v>20400</v>
      </c>
      <c r="D10" s="57" t="s">
        <v>171</v>
      </c>
      <c r="E10" s="57">
        <v>20400</v>
      </c>
      <c r="F10" s="57"/>
      <c r="G10" s="57"/>
      <c r="H10" s="57"/>
      <c r="I10" s="57"/>
      <c r="J10" s="57"/>
      <c r="K10" s="57" t="s">
        <v>196</v>
      </c>
      <c r="L10" s="4"/>
      <c r="M10" s="4"/>
      <c r="N10" s="4"/>
      <c r="O10" s="4"/>
      <c r="P10" s="4"/>
      <c r="Q10" s="4"/>
      <c r="R10" s="4"/>
      <c r="U10" s="4"/>
      <c r="V10" s="4"/>
      <c r="W10" s="4"/>
      <c r="X10" s="4"/>
      <c r="Y10" s="4"/>
      <c r="Z10" s="4"/>
      <c r="AA10" s="4"/>
      <c r="AB10" s="4"/>
      <c r="AC10" s="4"/>
      <c r="AD10" s="4"/>
      <c r="AE10" s="4"/>
      <c r="AF10" s="4"/>
      <c r="AG10" s="4"/>
      <c r="AH10" s="4"/>
      <c r="AI10" s="4"/>
      <c r="AJ10" s="4"/>
      <c r="AK10" s="4"/>
      <c r="AL10" s="4"/>
      <c r="AM10" s="4"/>
      <c r="AN10" s="4"/>
      <c r="AO10" s="4"/>
      <c r="AP10" s="4"/>
      <c r="AQ10" s="4"/>
      <c r="AR10" s="4"/>
      <c r="AS10" s="4"/>
    </row>
    <row r="11" spans="1:45" x14ac:dyDescent="0.2">
      <c r="A11" s="192" t="s">
        <v>146</v>
      </c>
      <c r="B11" s="193"/>
      <c r="C11" s="57">
        <f t="shared" si="0"/>
        <v>7000</v>
      </c>
      <c r="D11" s="57" t="s">
        <v>171</v>
      </c>
      <c r="E11" s="57">
        <v>7000</v>
      </c>
      <c r="F11" s="57"/>
      <c r="G11" s="57">
        <v>0</v>
      </c>
      <c r="H11" s="57"/>
      <c r="I11" s="57">
        <v>0</v>
      </c>
      <c r="J11" s="57"/>
      <c r="K11" s="57"/>
      <c r="L11" s="4"/>
      <c r="M11" s="4"/>
      <c r="N11" s="4"/>
      <c r="O11" s="4"/>
      <c r="P11" s="4"/>
      <c r="Q11" s="4"/>
      <c r="R11" s="4"/>
      <c r="U11" s="4"/>
      <c r="V11" s="4"/>
      <c r="W11" s="4"/>
      <c r="X11" s="4"/>
      <c r="Y11" s="4"/>
      <c r="Z11" s="4"/>
      <c r="AA11" s="4"/>
      <c r="AB11" s="4"/>
      <c r="AC11" s="4"/>
      <c r="AD11" s="4"/>
      <c r="AE11" s="4"/>
      <c r="AF11" s="4"/>
      <c r="AG11" s="4"/>
      <c r="AH11" s="4"/>
      <c r="AI11" s="4"/>
      <c r="AJ11" s="4"/>
      <c r="AK11" s="4"/>
      <c r="AL11" s="4"/>
      <c r="AM11" s="4"/>
      <c r="AN11" s="4"/>
      <c r="AO11" s="4"/>
      <c r="AP11" s="4"/>
      <c r="AQ11" s="4"/>
      <c r="AR11" s="4"/>
      <c r="AS11" s="4"/>
    </row>
    <row r="12" spans="1:45" x14ac:dyDescent="0.2">
      <c r="A12" s="192" t="s">
        <v>147</v>
      </c>
      <c r="B12" s="193"/>
      <c r="C12" s="57">
        <f t="shared" si="0"/>
        <v>2000</v>
      </c>
      <c r="D12" s="57" t="s">
        <v>171</v>
      </c>
      <c r="E12" s="57">
        <v>2000</v>
      </c>
      <c r="F12" s="57"/>
      <c r="G12" s="57"/>
      <c r="H12" s="57"/>
      <c r="I12" s="57"/>
      <c r="J12" s="57"/>
      <c r="K12" s="57"/>
      <c r="L12" s="4"/>
      <c r="M12" s="4"/>
      <c r="N12" s="4"/>
      <c r="O12" s="4"/>
      <c r="P12" s="4"/>
      <c r="Q12" s="4"/>
      <c r="R12" s="4"/>
      <c r="U12" s="4"/>
      <c r="V12" s="4"/>
      <c r="W12" s="4"/>
      <c r="X12" s="4"/>
      <c r="Y12" s="4"/>
      <c r="Z12" s="4"/>
      <c r="AA12" s="4"/>
      <c r="AB12" s="4"/>
      <c r="AC12" s="4"/>
      <c r="AD12" s="4"/>
      <c r="AE12" s="4"/>
      <c r="AF12" s="4"/>
      <c r="AG12" s="4"/>
      <c r="AH12" s="4"/>
      <c r="AI12" s="4"/>
      <c r="AJ12" s="4"/>
      <c r="AK12" s="4"/>
      <c r="AL12" s="4"/>
      <c r="AM12" s="4"/>
      <c r="AN12" s="4"/>
      <c r="AO12" s="4"/>
      <c r="AP12" s="4"/>
      <c r="AQ12" s="4"/>
      <c r="AR12" s="4"/>
      <c r="AS12" s="4"/>
    </row>
    <row r="13" spans="1:45" x14ac:dyDescent="0.2">
      <c r="A13" s="83" t="s">
        <v>134</v>
      </c>
      <c r="B13" s="84"/>
      <c r="C13" s="57">
        <f t="shared" si="0"/>
        <v>2000</v>
      </c>
      <c r="D13" s="57" t="s">
        <v>171</v>
      </c>
      <c r="E13" s="57">
        <v>2000</v>
      </c>
      <c r="F13" s="57"/>
      <c r="G13" s="57">
        <v>0</v>
      </c>
      <c r="H13" s="57"/>
      <c r="I13" s="57">
        <v>0</v>
      </c>
      <c r="J13" s="57"/>
      <c r="K13" s="57"/>
      <c r="L13" s="4"/>
      <c r="M13" s="4"/>
      <c r="N13" s="4"/>
      <c r="O13" s="4"/>
      <c r="P13" s="4"/>
      <c r="Q13" s="4"/>
      <c r="R13" s="4"/>
      <c r="U13" s="4"/>
      <c r="V13" s="4"/>
      <c r="W13" s="4"/>
      <c r="X13" s="4"/>
      <c r="Y13" s="4"/>
      <c r="Z13" s="4"/>
      <c r="AA13" s="4"/>
      <c r="AB13" s="4"/>
      <c r="AC13" s="4"/>
      <c r="AD13" s="4"/>
      <c r="AE13" s="4"/>
      <c r="AF13" s="4"/>
      <c r="AG13" s="4"/>
      <c r="AH13" s="4"/>
      <c r="AI13" s="4"/>
      <c r="AJ13" s="4"/>
      <c r="AK13" s="4"/>
      <c r="AL13" s="4"/>
      <c r="AM13" s="4"/>
      <c r="AN13" s="4"/>
      <c r="AO13" s="4"/>
      <c r="AP13" s="4"/>
      <c r="AQ13" s="4"/>
      <c r="AR13" s="4"/>
      <c r="AS13" s="4"/>
    </row>
    <row r="14" spans="1:45" ht="12" customHeight="1" x14ac:dyDescent="0.2">
      <c r="A14" s="53" t="s">
        <v>173</v>
      </c>
      <c r="B14" s="53"/>
      <c r="C14" s="57">
        <f t="shared" si="0"/>
        <v>1354940</v>
      </c>
      <c r="D14" s="57" t="s">
        <v>171</v>
      </c>
      <c r="E14" s="57">
        <f>Subsidy!$H$30</f>
        <v>819060</v>
      </c>
      <c r="F14" s="57"/>
      <c r="G14" s="58">
        <f>Subsidy!$H$20</f>
        <v>415300</v>
      </c>
      <c r="H14" s="58"/>
      <c r="I14" s="58">
        <f>Subsidy!$H$37</f>
        <v>120580</v>
      </c>
      <c r="J14" s="57"/>
      <c r="K14" s="57" t="s">
        <v>87</v>
      </c>
      <c r="L14" s="4"/>
      <c r="M14" s="4"/>
      <c r="N14" s="4"/>
      <c r="O14" s="158"/>
      <c r="P14" s="4"/>
      <c r="Q14" s="4"/>
      <c r="R14" s="4"/>
      <c r="U14" s="4"/>
      <c r="V14" s="4"/>
      <c r="W14" s="4"/>
      <c r="X14" s="4"/>
      <c r="Y14" s="4"/>
      <c r="Z14" s="4"/>
      <c r="AA14" s="4"/>
      <c r="AB14" s="4"/>
      <c r="AC14" s="4"/>
      <c r="AD14" s="4"/>
      <c r="AE14" s="4"/>
      <c r="AF14" s="4"/>
      <c r="AG14" s="4"/>
      <c r="AH14" s="4"/>
      <c r="AI14" s="4"/>
      <c r="AJ14" s="4"/>
      <c r="AK14" s="4"/>
      <c r="AL14" s="4"/>
      <c r="AM14" s="4"/>
      <c r="AN14" s="4"/>
      <c r="AO14" s="4"/>
      <c r="AP14" s="4"/>
      <c r="AQ14" s="4"/>
      <c r="AR14" s="4"/>
      <c r="AS14" s="4"/>
    </row>
    <row r="15" spans="1:45" ht="12" customHeight="1" x14ac:dyDescent="0.2">
      <c r="A15" s="192" t="s">
        <v>142</v>
      </c>
      <c r="B15" s="193"/>
      <c r="C15" s="57">
        <f t="shared" si="0"/>
        <v>63900</v>
      </c>
      <c r="D15" s="57" t="s">
        <v>171</v>
      </c>
      <c r="E15" s="57">
        <v>63900</v>
      </c>
      <c r="F15" s="57"/>
      <c r="G15" s="58"/>
      <c r="H15" s="58"/>
      <c r="I15" s="58"/>
      <c r="J15" s="57"/>
      <c r="K15" s="57" t="s">
        <v>143</v>
      </c>
      <c r="L15" s="4"/>
      <c r="M15" s="4"/>
      <c r="N15" s="4"/>
      <c r="O15" s="4"/>
      <c r="P15" s="4"/>
      <c r="Q15" s="4"/>
      <c r="R15" s="4"/>
      <c r="U15" s="4"/>
      <c r="V15" s="4"/>
      <c r="W15" s="4"/>
      <c r="X15" s="4"/>
      <c r="Y15" s="4"/>
      <c r="Z15" s="4"/>
      <c r="AA15" s="4"/>
      <c r="AB15" s="4"/>
      <c r="AC15" s="4"/>
      <c r="AD15" s="4"/>
      <c r="AE15" s="4"/>
      <c r="AF15" s="4"/>
      <c r="AG15" s="4"/>
      <c r="AH15" s="4"/>
      <c r="AI15" s="4"/>
      <c r="AJ15" s="4"/>
      <c r="AK15" s="4"/>
      <c r="AL15" s="4"/>
      <c r="AM15" s="4"/>
      <c r="AN15" s="4"/>
      <c r="AO15" s="4"/>
      <c r="AP15" s="4"/>
      <c r="AQ15" s="4"/>
      <c r="AR15" s="4"/>
      <c r="AS15" s="4"/>
    </row>
    <row r="16" spans="1:45" x14ac:dyDescent="0.2">
      <c r="A16" s="53" t="s">
        <v>25</v>
      </c>
      <c r="B16" s="53"/>
      <c r="C16" s="57">
        <f t="shared" si="0"/>
        <v>500</v>
      </c>
      <c r="D16" s="57" t="s">
        <v>171</v>
      </c>
      <c r="E16" s="57">
        <v>370</v>
      </c>
      <c r="F16" s="57"/>
      <c r="G16" s="57">
        <v>130</v>
      </c>
      <c r="H16" s="57"/>
      <c r="I16" s="57">
        <v>0</v>
      </c>
      <c r="J16" s="57"/>
      <c r="K16" s="57"/>
    </row>
    <row r="17" spans="1:13" x14ac:dyDescent="0.2">
      <c r="A17" s="53" t="s">
        <v>2</v>
      </c>
      <c r="B17" s="53"/>
      <c r="C17" s="57"/>
      <c r="D17" s="57"/>
      <c r="E17" s="57"/>
      <c r="F17" s="57"/>
      <c r="G17" s="57"/>
      <c r="H17" s="57"/>
      <c r="I17" s="57"/>
      <c r="J17" s="57"/>
      <c r="K17" s="57"/>
    </row>
    <row r="18" spans="1:13" x14ac:dyDescent="0.2">
      <c r="A18" s="192" t="s">
        <v>133</v>
      </c>
      <c r="B18" s="193"/>
      <c r="C18" s="57">
        <f t="shared" ref="C18:C23" si="1">SUM(E18:J18)</f>
        <v>2000</v>
      </c>
      <c r="D18" s="57" t="s">
        <v>171</v>
      </c>
      <c r="E18" s="57">
        <v>2000</v>
      </c>
      <c r="F18" s="57"/>
      <c r="G18" s="57">
        <v>0</v>
      </c>
      <c r="H18" s="57"/>
      <c r="I18" s="57">
        <v>0</v>
      </c>
      <c r="J18" s="57"/>
      <c r="K18" s="57"/>
    </row>
    <row r="19" spans="1:13" x14ac:dyDescent="0.2">
      <c r="A19" s="192" t="s">
        <v>145</v>
      </c>
      <c r="B19" s="193"/>
      <c r="C19" s="57">
        <f t="shared" si="1"/>
        <v>1000</v>
      </c>
      <c r="D19" s="57" t="s">
        <v>171</v>
      </c>
      <c r="E19" s="57">
        <v>1000</v>
      </c>
      <c r="F19" s="57"/>
      <c r="G19" s="57">
        <v>0</v>
      </c>
      <c r="H19" s="57"/>
      <c r="I19" s="57">
        <v>0</v>
      </c>
      <c r="J19" s="57"/>
      <c r="K19" s="57"/>
    </row>
    <row r="20" spans="1:13" x14ac:dyDescent="0.2">
      <c r="A20" s="53" t="s">
        <v>26</v>
      </c>
      <c r="B20" s="53"/>
      <c r="C20" s="57">
        <f t="shared" si="1"/>
        <v>11000</v>
      </c>
      <c r="D20" s="57" t="s">
        <v>171</v>
      </c>
      <c r="E20" s="57">
        <v>11000</v>
      </c>
      <c r="F20" s="57"/>
      <c r="G20" s="57">
        <v>0</v>
      </c>
      <c r="H20" s="57"/>
      <c r="I20" s="57">
        <v>0</v>
      </c>
      <c r="J20" s="57"/>
      <c r="K20" s="57"/>
    </row>
    <row r="21" spans="1:13" x14ac:dyDescent="0.2">
      <c r="A21" s="53" t="s">
        <v>66</v>
      </c>
      <c r="B21" s="53"/>
      <c r="C21" s="57">
        <f t="shared" si="1"/>
        <v>4000</v>
      </c>
      <c r="D21" s="57" t="s">
        <v>171</v>
      </c>
      <c r="E21" s="57">
        <v>1500</v>
      </c>
      <c r="F21" s="57"/>
      <c r="G21" s="57">
        <v>2500</v>
      </c>
      <c r="H21" s="57"/>
      <c r="I21" s="59">
        <v>0</v>
      </c>
      <c r="J21" s="57"/>
      <c r="K21" s="57" t="s">
        <v>195</v>
      </c>
    </row>
    <row r="22" spans="1:13" x14ac:dyDescent="0.2">
      <c r="A22" s="53" t="s">
        <v>136</v>
      </c>
      <c r="B22" s="53"/>
      <c r="C22" s="57">
        <f t="shared" si="1"/>
        <v>33290</v>
      </c>
      <c r="D22" s="57" t="s">
        <v>171</v>
      </c>
      <c r="E22" s="59">
        <v>0</v>
      </c>
      <c r="F22" s="57"/>
      <c r="G22" s="57">
        <v>33290</v>
      </c>
      <c r="H22" s="57"/>
      <c r="I22" s="59">
        <v>0</v>
      </c>
      <c r="J22" s="57"/>
      <c r="K22" s="57" t="s">
        <v>194</v>
      </c>
    </row>
    <row r="23" spans="1:13" x14ac:dyDescent="0.2">
      <c r="A23" s="53" t="s">
        <v>28</v>
      </c>
      <c r="B23" s="53"/>
      <c r="C23" s="57">
        <f t="shared" si="1"/>
        <v>15000</v>
      </c>
      <c r="D23" s="57" t="s">
        <v>171</v>
      </c>
      <c r="E23" s="57">
        <v>15000</v>
      </c>
      <c r="F23" s="57"/>
      <c r="G23" s="57">
        <v>0</v>
      </c>
      <c r="H23" s="57"/>
      <c r="I23" s="57">
        <v>0</v>
      </c>
      <c r="J23" s="57"/>
      <c r="K23" s="57"/>
      <c r="M23" s="160"/>
    </row>
    <row r="24" spans="1:13" x14ac:dyDescent="0.2">
      <c r="A24" s="60" t="s">
        <v>132</v>
      </c>
      <c r="B24" s="53"/>
      <c r="C24" s="57">
        <f>SUM(C8:C23)</f>
        <v>2705030</v>
      </c>
      <c r="D24" s="57"/>
      <c r="E24" s="57">
        <f>SUM(E8:E23)</f>
        <v>2133230</v>
      </c>
      <c r="F24" s="57"/>
      <c r="G24" s="57">
        <f>SUM(G8:G23)</f>
        <v>451220</v>
      </c>
      <c r="H24" s="57"/>
      <c r="I24" s="57">
        <f>SUM(I8:I23)</f>
        <v>120580</v>
      </c>
      <c r="J24" s="57"/>
      <c r="K24" s="57"/>
      <c r="M24" s="161"/>
    </row>
    <row r="25" spans="1:13" ht="6" customHeight="1" x14ac:dyDescent="0.2">
      <c r="A25" s="33"/>
      <c r="B25" s="33"/>
      <c r="C25" s="61"/>
      <c r="D25" s="61"/>
      <c r="E25" s="62"/>
      <c r="F25" s="61"/>
      <c r="G25" s="61"/>
      <c r="H25" s="63"/>
      <c r="I25" s="62"/>
      <c r="J25" s="61"/>
      <c r="K25" s="61"/>
    </row>
    <row r="26" spans="1:13" x14ac:dyDescent="0.2">
      <c r="A26" s="52" t="s">
        <v>19</v>
      </c>
      <c r="B26" s="53"/>
      <c r="C26" s="57"/>
      <c r="D26" s="57"/>
      <c r="E26" s="64"/>
      <c r="F26" s="57"/>
      <c r="G26" s="57"/>
      <c r="H26" s="57"/>
      <c r="I26" s="64"/>
      <c r="J26" s="57"/>
      <c r="K26" s="57"/>
    </row>
    <row r="27" spans="1:13" x14ac:dyDescent="0.2">
      <c r="A27" s="60" t="s">
        <v>17</v>
      </c>
      <c r="B27" s="53"/>
      <c r="C27" s="57"/>
      <c r="D27" s="57"/>
      <c r="E27" s="64"/>
      <c r="F27" s="57"/>
      <c r="G27" s="57"/>
      <c r="H27" s="57"/>
      <c r="I27" s="64"/>
      <c r="J27" s="57"/>
      <c r="K27" s="57"/>
    </row>
    <row r="28" spans="1:13" x14ac:dyDescent="0.2">
      <c r="A28" s="53" t="s">
        <v>3</v>
      </c>
      <c r="B28" s="53"/>
      <c r="C28" s="159">
        <f>SUM(E28:J28)-1</f>
        <v>384900.5</v>
      </c>
      <c r="D28" s="57" t="s">
        <v>171</v>
      </c>
      <c r="E28" s="57">
        <f>Salaries!$N$20+2</f>
        <v>195334.03956357759</v>
      </c>
      <c r="F28" s="57"/>
      <c r="G28" s="57">
        <f>Salaries!$R$20</f>
        <v>189567.46043642241</v>
      </c>
      <c r="H28" s="57"/>
      <c r="I28" s="57"/>
      <c r="J28" s="57"/>
      <c r="K28" s="57" t="s">
        <v>87</v>
      </c>
    </row>
    <row r="29" spans="1:13" x14ac:dyDescent="0.2">
      <c r="A29" s="53" t="s">
        <v>27</v>
      </c>
      <c r="B29" s="53"/>
      <c r="C29" s="57">
        <f>SUM(E29:J29)</f>
        <v>219088.91025000002</v>
      </c>
      <c r="D29" s="57" t="s">
        <v>171</v>
      </c>
      <c r="E29" s="57">
        <f>Benefits!P21</f>
        <v>111864.35179939926</v>
      </c>
      <c r="F29" s="57"/>
      <c r="G29" s="57">
        <f>Benefits!R21</f>
        <v>107224.55845060074</v>
      </c>
      <c r="H29" s="57">
        <f>Benefits!S21</f>
        <v>0</v>
      </c>
      <c r="I29" s="57"/>
      <c r="J29" s="57"/>
      <c r="K29" s="57" t="s">
        <v>87</v>
      </c>
    </row>
    <row r="30" spans="1:13" x14ac:dyDescent="0.2">
      <c r="A30" s="53" t="s">
        <v>104</v>
      </c>
      <c r="B30" s="53"/>
      <c r="C30" s="57">
        <f t="shared" ref="C30:C36" si="2">SUM(E30:J30)</f>
        <v>144840</v>
      </c>
      <c r="D30" s="57" t="s">
        <v>171</v>
      </c>
      <c r="E30" s="57">
        <f>Benefits!$P$37</f>
        <v>144840</v>
      </c>
      <c r="F30" s="57"/>
      <c r="G30" s="57">
        <v>0</v>
      </c>
      <c r="H30" s="57"/>
      <c r="I30" s="57">
        <v>0</v>
      </c>
      <c r="J30" s="57"/>
      <c r="K30" s="57" t="s">
        <v>87</v>
      </c>
    </row>
    <row r="31" spans="1:13" x14ac:dyDescent="0.2">
      <c r="A31" s="53" t="s">
        <v>4</v>
      </c>
      <c r="B31" s="53"/>
      <c r="C31" s="57">
        <f t="shared" si="2"/>
        <v>12000</v>
      </c>
      <c r="D31" s="57" t="s">
        <v>171</v>
      </c>
      <c r="E31" s="57">
        <v>4440</v>
      </c>
      <c r="F31" s="57"/>
      <c r="G31" s="57">
        <v>7560</v>
      </c>
      <c r="H31" s="57"/>
      <c r="I31" s="57">
        <v>0</v>
      </c>
      <c r="J31" s="57"/>
      <c r="K31" s="57"/>
    </row>
    <row r="32" spans="1:13" x14ac:dyDescent="0.2">
      <c r="A32" s="53" t="s">
        <v>52</v>
      </c>
      <c r="B32" s="53"/>
      <c r="C32" s="159">
        <f t="shared" si="2"/>
        <v>24000</v>
      </c>
      <c r="D32" s="57" t="s">
        <v>171</v>
      </c>
      <c r="E32" s="57">
        <v>18000</v>
      </c>
      <c r="F32" s="57"/>
      <c r="G32" s="57">
        <v>6000</v>
      </c>
      <c r="H32" s="57"/>
      <c r="I32" s="57">
        <v>0</v>
      </c>
      <c r="J32" s="57"/>
      <c r="K32" s="57"/>
    </row>
    <row r="33" spans="1:11" x14ac:dyDescent="0.2">
      <c r="A33" s="53" t="s">
        <v>78</v>
      </c>
      <c r="B33" s="53"/>
      <c r="C33" s="57">
        <f t="shared" si="2"/>
        <v>130000</v>
      </c>
      <c r="D33" s="57" t="s">
        <v>171</v>
      </c>
      <c r="E33" s="57">
        <v>125000</v>
      </c>
      <c r="F33" s="59"/>
      <c r="G33" s="57">
        <v>5000</v>
      </c>
      <c r="H33" s="59"/>
      <c r="I33" s="59">
        <v>0</v>
      </c>
      <c r="J33" s="59"/>
      <c r="K33" s="57"/>
    </row>
    <row r="34" spans="1:11" x14ac:dyDescent="0.2">
      <c r="A34" s="53" t="s">
        <v>144</v>
      </c>
      <c r="B34" s="53"/>
      <c r="C34" s="57">
        <f t="shared" si="2"/>
        <v>63900</v>
      </c>
      <c r="D34" s="57" t="s">
        <v>171</v>
      </c>
      <c r="E34" s="57">
        <v>0</v>
      </c>
      <c r="F34" s="59"/>
      <c r="G34" s="57">
        <f>E15</f>
        <v>63900</v>
      </c>
      <c r="H34" s="59"/>
      <c r="I34" s="59">
        <v>0</v>
      </c>
      <c r="J34" s="59"/>
      <c r="K34" s="57"/>
    </row>
    <row r="35" spans="1:11" x14ac:dyDescent="0.2">
      <c r="A35" s="53" t="s">
        <v>65</v>
      </c>
      <c r="B35" s="53"/>
      <c r="C35" s="57">
        <f t="shared" si="2"/>
        <v>31800</v>
      </c>
      <c r="D35" s="57" t="s">
        <v>171</v>
      </c>
      <c r="E35" s="57">
        <v>21000</v>
      </c>
      <c r="F35" s="57"/>
      <c r="G35" s="57">
        <v>10800</v>
      </c>
      <c r="H35" s="57"/>
      <c r="I35" s="57">
        <v>0</v>
      </c>
      <c r="J35" s="57"/>
      <c r="K35" s="57"/>
    </row>
    <row r="36" spans="1:11" x14ac:dyDescent="0.2">
      <c r="A36" s="53" t="s">
        <v>53</v>
      </c>
      <c r="B36" s="53"/>
      <c r="C36" s="57">
        <f t="shared" si="2"/>
        <v>138100</v>
      </c>
      <c r="D36" s="57" t="s">
        <v>171</v>
      </c>
      <c r="E36" s="57">
        <f>OtherAdmin!$F$38</f>
        <v>53440.236342502911</v>
      </c>
      <c r="F36" s="57"/>
      <c r="G36" s="57">
        <f>OtherAdmin!$G$38</f>
        <v>84659.763657497097</v>
      </c>
      <c r="H36" s="57"/>
      <c r="I36" s="57">
        <v>0</v>
      </c>
      <c r="J36" s="57"/>
      <c r="K36" s="57" t="s">
        <v>87</v>
      </c>
    </row>
    <row r="37" spans="1:11" x14ac:dyDescent="0.2">
      <c r="A37" s="60" t="s">
        <v>5</v>
      </c>
      <c r="B37" s="53"/>
      <c r="C37" s="57">
        <f>SUM(C28:C36)</f>
        <v>1148629.41025</v>
      </c>
      <c r="D37" s="57"/>
      <c r="E37" s="57">
        <f>SUM(E28:E36)</f>
        <v>673918.62770547974</v>
      </c>
      <c r="F37" s="57"/>
      <c r="G37" s="57">
        <f>SUM(G28:G36)</f>
        <v>474711.78254452022</v>
      </c>
      <c r="H37" s="57"/>
      <c r="I37" s="57">
        <f>SUM(I28:I36)</f>
        <v>0</v>
      </c>
      <c r="J37" s="57"/>
      <c r="K37" s="57"/>
    </row>
    <row r="38" spans="1:11" ht="7.35" customHeight="1" x14ac:dyDescent="0.2">
      <c r="A38" s="33"/>
      <c r="B38" s="33"/>
      <c r="C38" s="61"/>
      <c r="D38" s="61"/>
      <c r="E38" s="62"/>
      <c r="F38" s="61"/>
      <c r="G38" s="61"/>
      <c r="H38" s="63"/>
      <c r="I38" s="62"/>
      <c r="J38" s="61"/>
      <c r="K38" s="61"/>
    </row>
    <row r="39" spans="1:11" x14ac:dyDescent="0.2">
      <c r="A39" s="60" t="s">
        <v>18</v>
      </c>
      <c r="B39" s="53"/>
      <c r="C39" s="57"/>
      <c r="D39" s="57"/>
      <c r="E39" s="162"/>
      <c r="F39" s="57"/>
      <c r="G39" s="57"/>
      <c r="H39" s="57"/>
      <c r="I39" s="64"/>
      <c r="J39" s="57"/>
      <c r="K39" s="57"/>
    </row>
    <row r="40" spans="1:11" x14ac:dyDescent="0.2">
      <c r="A40" s="53" t="s">
        <v>92</v>
      </c>
      <c r="B40" s="53"/>
      <c r="C40" s="57">
        <f>SUM(E40:J40)</f>
        <v>3000</v>
      </c>
      <c r="D40" s="57" t="s">
        <v>171</v>
      </c>
      <c r="E40" s="57">
        <v>3000</v>
      </c>
      <c r="F40" s="57"/>
      <c r="G40" s="57">
        <v>0</v>
      </c>
      <c r="H40" s="57"/>
      <c r="I40" s="57">
        <v>0</v>
      </c>
      <c r="J40" s="57"/>
      <c r="K40" s="57"/>
    </row>
    <row r="41" spans="1:11" x14ac:dyDescent="0.2">
      <c r="A41" s="60" t="s">
        <v>16</v>
      </c>
      <c r="B41" s="53"/>
      <c r="C41" s="57">
        <f>SUM(C40:C40)</f>
        <v>3000</v>
      </c>
      <c r="D41" s="57"/>
      <c r="E41" s="57">
        <f>SUM(E40:E40)</f>
        <v>3000</v>
      </c>
      <c r="F41" s="57"/>
      <c r="G41" s="57">
        <f>SUM(G40:G40)</f>
        <v>0</v>
      </c>
      <c r="H41" s="57"/>
      <c r="I41" s="57">
        <f>SUM(I40:I40)</f>
        <v>0</v>
      </c>
      <c r="J41" s="57"/>
      <c r="K41" s="57"/>
    </row>
    <row r="42" spans="1:11" ht="7.35" customHeight="1" x14ac:dyDescent="0.2">
      <c r="A42" s="33"/>
      <c r="B42" s="33"/>
      <c r="C42" s="61"/>
      <c r="D42" s="61"/>
      <c r="E42" s="63"/>
      <c r="F42" s="61"/>
      <c r="G42" s="61"/>
      <c r="H42" s="63"/>
      <c r="I42" s="63"/>
      <c r="J42" s="61"/>
      <c r="K42" s="61"/>
    </row>
    <row r="43" spans="1:11" x14ac:dyDescent="0.2">
      <c r="A43" s="60" t="s">
        <v>20</v>
      </c>
      <c r="B43" s="53"/>
      <c r="C43" s="57"/>
      <c r="D43" s="57"/>
      <c r="E43" s="57"/>
      <c r="F43" s="57"/>
      <c r="G43" s="57"/>
      <c r="H43" s="57"/>
      <c r="I43" s="57"/>
      <c r="J43" s="57"/>
      <c r="K43" s="57"/>
    </row>
    <row r="44" spans="1:11" x14ac:dyDescent="0.2">
      <c r="A44" s="53" t="s">
        <v>61</v>
      </c>
      <c r="B44" s="53"/>
      <c r="C44" s="57">
        <f>SUM(E44:J44)</f>
        <v>105000</v>
      </c>
      <c r="D44" s="57" t="s">
        <v>171</v>
      </c>
      <c r="E44" s="57">
        <v>105000</v>
      </c>
      <c r="F44" s="57"/>
      <c r="G44" s="57">
        <v>0</v>
      </c>
      <c r="H44" s="57"/>
      <c r="I44" s="57">
        <v>0</v>
      </c>
      <c r="J44" s="57"/>
      <c r="K44" s="57"/>
    </row>
    <row r="45" spans="1:11" x14ac:dyDescent="0.2">
      <c r="A45" s="53" t="s">
        <v>6</v>
      </c>
      <c r="B45" s="53"/>
      <c r="C45" s="57">
        <f>SUM(E45:J45)</f>
        <v>231000</v>
      </c>
      <c r="D45" s="57" t="s">
        <v>171</v>
      </c>
      <c r="E45" s="57">
        <v>231000</v>
      </c>
      <c r="F45" s="57"/>
      <c r="G45" s="57">
        <v>0</v>
      </c>
      <c r="H45" s="57"/>
      <c r="I45" s="57">
        <v>0</v>
      </c>
      <c r="J45" s="57"/>
      <c r="K45" s="57"/>
    </row>
    <row r="46" spans="1:11" x14ac:dyDescent="0.2">
      <c r="A46" s="53" t="s">
        <v>7</v>
      </c>
      <c r="B46" s="53"/>
      <c r="C46" s="57">
        <f>SUM(E46:J46)</f>
        <v>147000</v>
      </c>
      <c r="D46" s="57" t="s">
        <v>171</v>
      </c>
      <c r="E46" s="57">
        <v>147000</v>
      </c>
      <c r="F46" s="57"/>
      <c r="G46" s="57">
        <v>0</v>
      </c>
      <c r="H46" s="57"/>
      <c r="I46" s="57">
        <v>0</v>
      </c>
      <c r="J46" s="57"/>
      <c r="K46" s="57"/>
    </row>
    <row r="47" spans="1:11" x14ac:dyDescent="0.2">
      <c r="A47" s="53" t="s">
        <v>120</v>
      </c>
      <c r="B47" s="53"/>
      <c r="C47" s="57">
        <f>SUM(E47:J47)</f>
        <v>84000</v>
      </c>
      <c r="D47" s="57" t="s">
        <v>171</v>
      </c>
      <c r="E47" s="57">
        <v>84000</v>
      </c>
      <c r="F47" s="57"/>
      <c r="G47" s="57">
        <v>0</v>
      </c>
      <c r="H47" s="57"/>
      <c r="I47" s="57">
        <v>0</v>
      </c>
      <c r="J47" s="57"/>
      <c r="K47" s="57"/>
    </row>
    <row r="48" spans="1:11" x14ac:dyDescent="0.2">
      <c r="A48" s="60" t="s">
        <v>8</v>
      </c>
      <c r="B48" s="53"/>
      <c r="C48" s="57">
        <f>SUM(C44:C47)</f>
        <v>567000</v>
      </c>
      <c r="D48" s="57"/>
      <c r="E48" s="57">
        <f>SUM(E44:E47)</f>
        <v>567000</v>
      </c>
      <c r="F48" s="57"/>
      <c r="G48" s="57">
        <f>SUM(G44:G47)</f>
        <v>0</v>
      </c>
      <c r="H48" s="57"/>
      <c r="I48" s="57">
        <f>SUM(I44:I47)</f>
        <v>0</v>
      </c>
      <c r="J48" s="57"/>
      <c r="K48" s="57"/>
    </row>
    <row r="49" spans="1:11" x14ac:dyDescent="0.2">
      <c r="A49" s="60" t="s">
        <v>21</v>
      </c>
      <c r="B49" s="53"/>
      <c r="C49" s="57"/>
      <c r="D49" s="57"/>
      <c r="E49" s="57"/>
      <c r="F49" s="57"/>
      <c r="G49" s="57"/>
      <c r="H49" s="57"/>
      <c r="I49" s="57"/>
      <c r="J49" s="57"/>
      <c r="K49" s="57"/>
    </row>
    <row r="50" spans="1:11" x14ac:dyDescent="0.2">
      <c r="A50" s="53" t="s">
        <v>9</v>
      </c>
      <c r="B50" s="53"/>
      <c r="C50" s="57">
        <f>SUM(E50:J50)</f>
        <v>383997.89999999997</v>
      </c>
      <c r="D50" s="57" t="s">
        <v>171</v>
      </c>
      <c r="E50" s="57">
        <f>Salaries!$N$38</f>
        <v>383997.89999999997</v>
      </c>
      <c r="F50" s="57"/>
      <c r="G50" s="57">
        <v>0</v>
      </c>
      <c r="H50" s="57"/>
      <c r="I50" s="57">
        <v>0</v>
      </c>
      <c r="J50" s="57"/>
      <c r="K50" s="57" t="s">
        <v>87</v>
      </c>
    </row>
    <row r="51" spans="1:11" x14ac:dyDescent="0.2">
      <c r="A51" s="53" t="s">
        <v>27</v>
      </c>
      <c r="B51" s="53"/>
      <c r="C51" s="57">
        <f>SUM(E51:J51)</f>
        <v>212313.60672500002</v>
      </c>
      <c r="D51" s="57" t="s">
        <v>171</v>
      </c>
      <c r="E51" s="57">
        <f>Benefits!$P$49+5</f>
        <v>212313.60672500002</v>
      </c>
      <c r="F51" s="57"/>
      <c r="G51" s="57">
        <v>0</v>
      </c>
      <c r="H51" s="57"/>
      <c r="I51" s="57">
        <v>0</v>
      </c>
      <c r="J51" s="57"/>
      <c r="K51" s="57" t="s">
        <v>87</v>
      </c>
    </row>
    <row r="52" spans="1:11" x14ac:dyDescent="0.2">
      <c r="A52" s="53" t="s">
        <v>10</v>
      </c>
      <c r="B52" s="53"/>
      <c r="C52" s="57"/>
      <c r="D52" s="57"/>
      <c r="E52" s="57"/>
      <c r="F52" s="57"/>
      <c r="G52" s="57">
        <v>0</v>
      </c>
      <c r="H52" s="57"/>
      <c r="I52" s="57">
        <v>0</v>
      </c>
      <c r="J52" s="57"/>
      <c r="K52" s="57"/>
    </row>
    <row r="53" spans="1:11" x14ac:dyDescent="0.2">
      <c r="A53" s="53" t="s">
        <v>200</v>
      </c>
      <c r="B53" s="53"/>
      <c r="C53" s="57">
        <f>SUM(E53:J53)</f>
        <v>75000</v>
      </c>
      <c r="D53" s="57"/>
      <c r="E53" s="57">
        <v>75000</v>
      </c>
      <c r="F53" s="57"/>
      <c r="G53" s="57"/>
      <c r="H53" s="57"/>
      <c r="I53" s="57"/>
      <c r="J53" s="57"/>
      <c r="K53" s="57"/>
    </row>
    <row r="54" spans="1:11" x14ac:dyDescent="0.2">
      <c r="A54" s="53" t="s">
        <v>201</v>
      </c>
      <c r="B54" s="53"/>
      <c r="C54" s="57">
        <f>SUM(E54:J54)</f>
        <v>15000</v>
      </c>
      <c r="D54" s="57"/>
      <c r="E54" s="57">
        <v>15000</v>
      </c>
      <c r="F54" s="57"/>
      <c r="G54" s="57"/>
      <c r="H54" s="57"/>
      <c r="I54" s="57"/>
      <c r="J54" s="57"/>
      <c r="K54" s="57"/>
    </row>
    <row r="55" spans="1:11" x14ac:dyDescent="0.2">
      <c r="A55" s="53" t="s">
        <v>11</v>
      </c>
      <c r="B55" s="53"/>
      <c r="C55" s="57">
        <f t="shared" ref="C55:C64" si="3">SUM(E55:J55)</f>
        <v>0</v>
      </c>
      <c r="D55" s="59"/>
      <c r="E55" s="59"/>
      <c r="F55" s="59"/>
      <c r="G55" s="59"/>
      <c r="H55" s="59"/>
      <c r="I55" s="59"/>
      <c r="J55" s="59"/>
      <c r="K55" s="57"/>
    </row>
    <row r="56" spans="1:11" x14ac:dyDescent="0.2">
      <c r="A56" s="53" t="s">
        <v>138</v>
      </c>
      <c r="B56" s="53"/>
      <c r="C56" s="57">
        <f t="shared" si="3"/>
        <v>4000</v>
      </c>
      <c r="D56" s="57" t="s">
        <v>171</v>
      </c>
      <c r="E56" s="57">
        <v>4000</v>
      </c>
      <c r="F56" s="57"/>
      <c r="G56" s="57">
        <v>0</v>
      </c>
      <c r="H56" s="57"/>
      <c r="I56" s="57">
        <v>0</v>
      </c>
      <c r="J56" s="57"/>
      <c r="K56" s="57"/>
    </row>
    <row r="57" spans="1:11" x14ac:dyDescent="0.2">
      <c r="A57" s="53" t="s">
        <v>77</v>
      </c>
      <c r="B57" s="53"/>
      <c r="C57" s="57">
        <f t="shared" si="3"/>
        <v>15000</v>
      </c>
      <c r="D57" s="57" t="s">
        <v>171</v>
      </c>
      <c r="E57" s="57">
        <v>15000</v>
      </c>
      <c r="F57" s="57"/>
      <c r="G57" s="57">
        <v>0</v>
      </c>
      <c r="H57" s="57"/>
      <c r="I57" s="57">
        <v>0</v>
      </c>
      <c r="J57" s="57"/>
      <c r="K57" s="57"/>
    </row>
    <row r="58" spans="1:11" x14ac:dyDescent="0.2">
      <c r="A58" s="53" t="s">
        <v>58</v>
      </c>
      <c r="B58" s="53"/>
      <c r="C58" s="57">
        <f t="shared" si="3"/>
        <v>30000</v>
      </c>
      <c r="D58" s="57" t="s">
        <v>171</v>
      </c>
      <c r="E58" s="57">
        <v>30000</v>
      </c>
      <c r="F58" s="57"/>
      <c r="G58" s="57"/>
      <c r="H58" s="57"/>
      <c r="I58" s="57"/>
      <c r="J58" s="57"/>
      <c r="K58" s="57"/>
    </row>
    <row r="59" spans="1:11" x14ac:dyDescent="0.2">
      <c r="A59" s="53" t="s">
        <v>117</v>
      </c>
      <c r="B59" s="53"/>
      <c r="C59" s="57"/>
      <c r="D59" s="57"/>
      <c r="E59" s="57"/>
      <c r="F59" s="57"/>
      <c r="G59" s="57"/>
      <c r="H59" s="57"/>
      <c r="I59" s="57"/>
      <c r="J59" s="57"/>
      <c r="K59" s="57"/>
    </row>
    <row r="60" spans="1:11" x14ac:dyDescent="0.2">
      <c r="A60" s="53" t="s">
        <v>118</v>
      </c>
      <c r="B60" s="53"/>
      <c r="C60" s="57">
        <f t="shared" si="3"/>
        <v>45000</v>
      </c>
      <c r="D60" s="57" t="s">
        <v>171</v>
      </c>
      <c r="E60" s="57">
        <v>45000</v>
      </c>
      <c r="F60" s="57"/>
      <c r="G60" s="57">
        <v>0</v>
      </c>
      <c r="H60" s="57"/>
      <c r="I60" s="57">
        <v>0</v>
      </c>
      <c r="J60" s="57"/>
      <c r="K60" s="57"/>
    </row>
    <row r="61" spans="1:11" x14ac:dyDescent="0.2">
      <c r="A61" s="53" t="s">
        <v>175</v>
      </c>
      <c r="B61" s="53"/>
      <c r="C61" s="57">
        <f t="shared" si="3"/>
        <v>4000</v>
      </c>
      <c r="D61" s="57" t="s">
        <v>171</v>
      </c>
      <c r="E61" s="57">
        <v>4000</v>
      </c>
      <c r="F61" s="57"/>
      <c r="G61" s="57"/>
      <c r="H61" s="57"/>
      <c r="I61" s="57"/>
      <c r="J61" s="57"/>
      <c r="K61" s="57"/>
    </row>
    <row r="62" spans="1:11" x14ac:dyDescent="0.2">
      <c r="A62" s="53" t="s">
        <v>176</v>
      </c>
      <c r="B62" s="53"/>
      <c r="C62" s="57">
        <f t="shared" si="3"/>
        <v>3500</v>
      </c>
      <c r="D62" s="57"/>
      <c r="E62" s="57">
        <v>3500</v>
      </c>
      <c r="F62" s="57"/>
      <c r="G62" s="57"/>
      <c r="H62" s="57"/>
      <c r="I62" s="57"/>
      <c r="J62" s="57"/>
      <c r="K62" s="57"/>
    </row>
    <row r="63" spans="1:11" x14ac:dyDescent="0.2">
      <c r="A63" s="53" t="s">
        <v>177</v>
      </c>
      <c r="B63" s="53"/>
      <c r="C63" s="57">
        <f t="shared" si="3"/>
        <v>9000</v>
      </c>
      <c r="D63" s="57" t="s">
        <v>171</v>
      </c>
      <c r="E63" s="57">
        <v>9000</v>
      </c>
      <c r="F63" s="57"/>
      <c r="G63" s="57">
        <v>0</v>
      </c>
      <c r="H63" s="57"/>
      <c r="I63" s="57">
        <v>0</v>
      </c>
      <c r="J63" s="57"/>
      <c r="K63" s="57"/>
    </row>
    <row r="64" spans="1:11" x14ac:dyDescent="0.2">
      <c r="A64" s="53" t="s">
        <v>178</v>
      </c>
      <c r="B64" s="53"/>
      <c r="C64" s="57">
        <f t="shared" si="3"/>
        <v>30000</v>
      </c>
      <c r="D64" s="57" t="s">
        <v>171</v>
      </c>
      <c r="E64" s="57">
        <v>30000</v>
      </c>
      <c r="F64" s="57"/>
      <c r="G64" s="57">
        <v>0</v>
      </c>
      <c r="H64" s="57"/>
      <c r="I64" s="57">
        <v>0</v>
      </c>
      <c r="J64" s="57"/>
      <c r="K64" s="57"/>
    </row>
    <row r="65" spans="1:11" x14ac:dyDescent="0.2">
      <c r="A65" s="53" t="s">
        <v>59</v>
      </c>
      <c r="B65" s="53"/>
      <c r="C65" s="57"/>
      <c r="D65" s="57"/>
      <c r="E65" s="57"/>
      <c r="F65" s="57"/>
      <c r="G65" s="57"/>
      <c r="H65" s="57"/>
      <c r="I65" s="57"/>
      <c r="J65" s="57"/>
      <c r="K65" s="57"/>
    </row>
    <row r="66" spans="1:11" x14ac:dyDescent="0.2">
      <c r="A66" s="192" t="s">
        <v>174</v>
      </c>
      <c r="B66" s="193"/>
      <c r="C66" s="57">
        <f>SUM(E66:J66)</f>
        <v>25000</v>
      </c>
      <c r="D66" s="57" t="s">
        <v>171</v>
      </c>
      <c r="E66" s="57">
        <v>25000</v>
      </c>
      <c r="F66" s="57"/>
      <c r="G66" s="57">
        <v>0</v>
      </c>
      <c r="H66" s="57"/>
      <c r="I66" s="57">
        <v>0</v>
      </c>
      <c r="J66" s="57"/>
      <c r="K66" s="57"/>
    </row>
    <row r="67" spans="1:11" x14ac:dyDescent="0.2">
      <c r="A67" s="192" t="s">
        <v>179</v>
      </c>
      <c r="B67" s="193"/>
      <c r="C67" s="57">
        <f>SUM(E67:J67)</f>
        <v>25000</v>
      </c>
      <c r="D67" s="57" t="s">
        <v>171</v>
      </c>
      <c r="E67" s="57">
        <v>25000</v>
      </c>
      <c r="F67" s="57"/>
      <c r="G67" s="57"/>
      <c r="H67" s="57"/>
      <c r="I67" s="57"/>
      <c r="J67" s="57"/>
      <c r="K67" s="57"/>
    </row>
    <row r="68" spans="1:11" x14ac:dyDescent="0.2">
      <c r="A68" s="53" t="s">
        <v>115</v>
      </c>
      <c r="B68" s="53"/>
      <c r="C68" s="57">
        <f>SUM(E68:J68)</f>
        <v>20000</v>
      </c>
      <c r="D68" s="57" t="s">
        <v>171</v>
      </c>
      <c r="E68" s="57">
        <v>20000</v>
      </c>
      <c r="F68" s="57"/>
      <c r="G68" s="57">
        <v>0</v>
      </c>
      <c r="H68" s="57"/>
      <c r="I68" s="57">
        <v>0</v>
      </c>
      <c r="J68" s="57"/>
      <c r="K68" s="57"/>
    </row>
    <row r="69" spans="1:11" x14ac:dyDescent="0.2">
      <c r="A69" s="53" t="s">
        <v>119</v>
      </c>
      <c r="B69" s="53"/>
      <c r="C69" s="57">
        <f>SUM(E69:J69)</f>
        <v>3800</v>
      </c>
      <c r="D69" s="57" t="s">
        <v>171</v>
      </c>
      <c r="E69" s="57">
        <v>3800</v>
      </c>
      <c r="F69" s="57"/>
      <c r="G69" s="57">
        <v>0</v>
      </c>
      <c r="H69" s="57"/>
      <c r="I69" s="57">
        <v>0</v>
      </c>
      <c r="J69" s="57"/>
      <c r="K69" s="57"/>
    </row>
    <row r="70" spans="1:11" x14ac:dyDescent="0.2">
      <c r="A70" s="53" t="s">
        <v>50</v>
      </c>
      <c r="B70" s="53"/>
      <c r="C70" s="57"/>
      <c r="D70" s="57"/>
      <c r="E70" s="57">
        <v>0</v>
      </c>
      <c r="F70" s="57"/>
      <c r="G70" s="57"/>
      <c r="H70" s="57"/>
      <c r="I70" s="57"/>
      <c r="J70" s="57"/>
      <c r="K70" s="57"/>
    </row>
    <row r="71" spans="1:11" x14ac:dyDescent="0.2">
      <c r="A71" s="53" t="s">
        <v>199</v>
      </c>
      <c r="B71" s="53"/>
      <c r="C71" s="57">
        <f>SUM(E71:J71)</f>
        <v>5000</v>
      </c>
      <c r="D71" s="57"/>
      <c r="E71" s="57">
        <v>5000</v>
      </c>
      <c r="F71" s="57"/>
      <c r="G71" s="57">
        <v>0</v>
      </c>
      <c r="H71" s="57"/>
      <c r="I71" s="57">
        <v>0</v>
      </c>
      <c r="J71" s="57"/>
      <c r="K71" s="57"/>
    </row>
    <row r="72" spans="1:11" x14ac:dyDescent="0.2">
      <c r="A72" s="53" t="s">
        <v>116</v>
      </c>
      <c r="B72" s="53"/>
      <c r="C72" s="57">
        <f>SUM(E72:J72)</f>
        <v>1500</v>
      </c>
      <c r="D72" s="57"/>
      <c r="E72" s="57">
        <v>1500</v>
      </c>
      <c r="F72" s="57"/>
      <c r="G72" s="57">
        <v>0</v>
      </c>
      <c r="H72" s="57"/>
      <c r="I72" s="57">
        <v>0</v>
      </c>
      <c r="J72" s="57"/>
      <c r="K72" s="57"/>
    </row>
    <row r="73" spans="1:11" x14ac:dyDescent="0.2">
      <c r="A73" s="53" t="s">
        <v>60</v>
      </c>
      <c r="B73" s="53"/>
      <c r="C73" s="57">
        <f>SUM(E73:J73)</f>
        <v>3000</v>
      </c>
      <c r="D73" s="57"/>
      <c r="E73" s="57">
        <v>3000</v>
      </c>
      <c r="F73" s="57"/>
      <c r="G73" s="57">
        <v>0</v>
      </c>
      <c r="H73" s="57"/>
      <c r="I73" s="57">
        <v>0</v>
      </c>
      <c r="J73" s="57"/>
      <c r="K73" s="57"/>
    </row>
    <row r="74" spans="1:11" x14ac:dyDescent="0.2">
      <c r="A74" s="60" t="s">
        <v>12</v>
      </c>
      <c r="B74" s="53"/>
      <c r="C74" s="57">
        <f>SUM(C50:C73)</f>
        <v>910111.50672499998</v>
      </c>
      <c r="D74" s="57"/>
      <c r="E74" s="57">
        <f>SUM(E50:E73)</f>
        <v>910111.50672499998</v>
      </c>
      <c r="F74" s="57"/>
      <c r="G74" s="57">
        <v>0</v>
      </c>
      <c r="H74" s="57"/>
      <c r="I74" s="57">
        <f>SUM(I50:I73)</f>
        <v>0</v>
      </c>
      <c r="J74" s="57"/>
      <c r="K74" s="57"/>
    </row>
    <row r="75" spans="1:11" x14ac:dyDescent="0.2">
      <c r="A75" s="33"/>
      <c r="B75" s="33"/>
      <c r="C75" s="57"/>
      <c r="D75" s="61"/>
      <c r="E75" s="57"/>
      <c r="F75" s="61"/>
      <c r="G75" s="57"/>
      <c r="H75" s="63"/>
      <c r="I75" s="57"/>
      <c r="J75" s="61"/>
      <c r="K75" s="61"/>
    </row>
    <row r="76" spans="1:11" x14ac:dyDescent="0.2">
      <c r="A76" s="60" t="s">
        <v>180</v>
      </c>
      <c r="B76" s="53"/>
      <c r="C76" s="57">
        <f>SUM(E76:J76)</f>
        <v>0</v>
      </c>
      <c r="D76" s="57"/>
      <c r="E76" s="57">
        <v>0</v>
      </c>
      <c r="F76" s="57"/>
      <c r="G76" s="57">
        <v>0</v>
      </c>
      <c r="H76" s="57"/>
      <c r="I76" s="57">
        <v>0</v>
      </c>
      <c r="J76" s="57"/>
      <c r="K76" s="57"/>
    </row>
    <row r="77" spans="1:11" x14ac:dyDescent="0.2">
      <c r="A77" s="60" t="s">
        <v>22</v>
      </c>
      <c r="B77" s="53"/>
      <c r="C77" s="57"/>
      <c r="D77" s="57"/>
      <c r="E77" s="57"/>
      <c r="F77" s="57"/>
      <c r="G77" s="57"/>
      <c r="H77" s="57"/>
      <c r="I77" s="57"/>
      <c r="J77" s="57"/>
      <c r="K77" s="57"/>
    </row>
    <row r="78" spans="1:11" x14ac:dyDescent="0.2">
      <c r="A78" s="53" t="s">
        <v>13</v>
      </c>
      <c r="B78" s="53"/>
      <c r="C78" s="57">
        <f>SUM(E78:J78)</f>
        <v>105330</v>
      </c>
      <c r="D78" s="57"/>
      <c r="E78" s="57">
        <f>Insurance!$H$26</f>
        <v>96225</v>
      </c>
      <c r="F78" s="57"/>
      <c r="G78" s="57">
        <f>Insurance!$J$26</f>
        <v>9105</v>
      </c>
      <c r="H78" s="57"/>
      <c r="I78" s="57">
        <v>0</v>
      </c>
      <c r="J78" s="57"/>
      <c r="K78" s="57" t="s">
        <v>87</v>
      </c>
    </row>
    <row r="79" spans="1:11" x14ac:dyDescent="0.2">
      <c r="A79" s="53" t="s">
        <v>14</v>
      </c>
      <c r="B79" s="53"/>
      <c r="C79" s="57">
        <f>SUM(E79:J79)</f>
        <v>10000</v>
      </c>
      <c r="D79" s="57"/>
      <c r="E79" s="57">
        <v>10000</v>
      </c>
      <c r="F79" s="57"/>
      <c r="G79" s="57">
        <v>0</v>
      </c>
      <c r="H79" s="57"/>
      <c r="I79" s="57">
        <v>0</v>
      </c>
      <c r="J79" s="57"/>
      <c r="K79" s="57"/>
    </row>
    <row r="80" spans="1:11" x14ac:dyDescent="0.2">
      <c r="A80" s="53" t="s">
        <v>170</v>
      </c>
      <c r="B80" s="53"/>
      <c r="C80" s="57">
        <f>SUM(E80:J80)</f>
        <v>61200</v>
      </c>
      <c r="D80" s="57" t="s">
        <v>171</v>
      </c>
      <c r="E80" s="57">
        <v>61200</v>
      </c>
      <c r="F80" s="57"/>
      <c r="G80" s="57">
        <v>0</v>
      </c>
      <c r="H80" s="57"/>
      <c r="I80" s="57">
        <v>0</v>
      </c>
      <c r="J80" s="57"/>
      <c r="K80" s="57"/>
    </row>
    <row r="81" spans="1:11" x14ac:dyDescent="0.2">
      <c r="A81" s="53" t="s">
        <v>127</v>
      </c>
      <c r="B81" s="60"/>
      <c r="C81" s="57">
        <f>SUM(E81:J81)</f>
        <v>55000</v>
      </c>
      <c r="D81" s="57"/>
      <c r="E81" s="57">
        <v>50000</v>
      </c>
      <c r="F81" s="57"/>
      <c r="G81" s="57">
        <v>5000</v>
      </c>
      <c r="H81" s="57"/>
      <c r="I81" s="57">
        <v>0</v>
      </c>
      <c r="J81" s="57"/>
      <c r="K81" s="57"/>
    </row>
    <row r="82" spans="1:11" x14ac:dyDescent="0.2">
      <c r="A82" s="60" t="s">
        <v>15</v>
      </c>
      <c r="B82" s="53"/>
      <c r="C82" s="57">
        <f>SUM(C78:C81)</f>
        <v>231530</v>
      </c>
      <c r="D82" s="57"/>
      <c r="E82" s="57">
        <f>SUM(E78:E81)</f>
        <v>217425</v>
      </c>
      <c r="F82" s="57"/>
      <c r="G82" s="57">
        <f>SUM(G78:G81)</f>
        <v>14105</v>
      </c>
      <c r="H82" s="57"/>
      <c r="I82" s="57">
        <f>SUM(I78:I79)</f>
        <v>0</v>
      </c>
      <c r="J82" s="57"/>
      <c r="K82" s="57"/>
    </row>
    <row r="83" spans="1:11" x14ac:dyDescent="0.2">
      <c r="A83" s="33"/>
      <c r="B83" s="33"/>
      <c r="C83" s="61"/>
      <c r="D83" s="61"/>
      <c r="E83" s="61"/>
      <c r="F83" s="61"/>
      <c r="G83" s="61"/>
      <c r="H83" s="63"/>
      <c r="I83" s="61"/>
      <c r="J83" s="61"/>
      <c r="K83" s="61"/>
    </row>
    <row r="84" spans="1:11" x14ac:dyDescent="0.2">
      <c r="A84" s="60" t="s">
        <v>64</v>
      </c>
      <c r="B84" s="53"/>
      <c r="C84" s="57">
        <f>C37+C41+C48+C74+C76+C82</f>
        <v>2860270.9169749999</v>
      </c>
      <c r="D84" s="57">
        <f>D37+D41+D48+D74+D82</f>
        <v>0</v>
      </c>
      <c r="E84" s="57">
        <f>E37+E41+E48+E74+E76+E82</f>
        <v>2371455.1344304797</v>
      </c>
      <c r="F84" s="57"/>
      <c r="G84" s="57">
        <f>G37+G41+G48+G74+G76+G82</f>
        <v>488816.78254452022</v>
      </c>
      <c r="H84" s="57"/>
      <c r="I84" s="57">
        <f>I37+I41+I48+I74+I76+I82</f>
        <v>0</v>
      </c>
      <c r="J84" s="57"/>
      <c r="K84" s="57"/>
    </row>
    <row r="85" spans="1:11" x14ac:dyDescent="0.2">
      <c r="A85" s="42"/>
      <c r="B85" s="33"/>
      <c r="C85" s="61"/>
      <c r="D85" s="61"/>
      <c r="E85" s="63"/>
      <c r="F85" s="61"/>
      <c r="G85" s="61"/>
      <c r="H85" s="63"/>
      <c r="I85" s="63"/>
      <c r="J85" s="61"/>
      <c r="K85" s="61"/>
    </row>
    <row r="86" spans="1:11" x14ac:dyDescent="0.2">
      <c r="A86" s="60" t="s">
        <v>130</v>
      </c>
      <c r="B86" s="53"/>
      <c r="C86" s="59"/>
      <c r="D86" s="59"/>
      <c r="E86" s="59"/>
      <c r="F86" s="59"/>
      <c r="G86" s="59"/>
      <c r="H86" s="59"/>
      <c r="I86" s="59"/>
      <c r="J86" s="59"/>
      <c r="K86" s="57"/>
    </row>
    <row r="87" spans="1:11" x14ac:dyDescent="0.2">
      <c r="A87" s="60" t="s">
        <v>121</v>
      </c>
      <c r="B87" s="53"/>
      <c r="C87" s="59">
        <f>C24-C84</f>
        <v>-155240.91697499994</v>
      </c>
      <c r="D87" s="59"/>
      <c r="E87" s="59">
        <f>E24-E84</f>
        <v>-238225.13443047972</v>
      </c>
      <c r="F87" s="59"/>
      <c r="G87" s="59">
        <f>G24-G84</f>
        <v>-37596.782544520218</v>
      </c>
      <c r="H87" s="59"/>
      <c r="I87" s="59">
        <f>I24-I84</f>
        <v>120580</v>
      </c>
      <c r="J87" s="59"/>
      <c r="K87" s="57"/>
    </row>
    <row r="88" spans="1:11" x14ac:dyDescent="0.2">
      <c r="A88" s="60"/>
      <c r="B88" s="53"/>
      <c r="C88" s="59"/>
      <c r="D88" s="59"/>
      <c r="E88" s="59"/>
      <c r="F88" s="59"/>
      <c r="G88" s="59"/>
      <c r="H88" s="59"/>
      <c r="I88" s="59"/>
      <c r="J88" s="59"/>
      <c r="K88" s="57"/>
    </row>
    <row r="89" spans="1:11" x14ac:dyDescent="0.2">
      <c r="A89" s="60" t="s">
        <v>125</v>
      </c>
      <c r="B89" s="53"/>
      <c r="C89" s="59">
        <v>0</v>
      </c>
      <c r="D89" s="59"/>
      <c r="E89" s="59">
        <f>I89*-1</f>
        <v>120580</v>
      </c>
      <c r="F89" s="59"/>
      <c r="G89" s="59">
        <v>0</v>
      </c>
      <c r="H89" s="59"/>
      <c r="I89" s="59">
        <f>I87*-1</f>
        <v>-120580</v>
      </c>
      <c r="J89" s="59"/>
      <c r="K89" s="57"/>
    </row>
    <row r="90" spans="1:11" x14ac:dyDescent="0.2">
      <c r="A90" s="60"/>
      <c r="B90" s="53"/>
      <c r="C90" s="57"/>
      <c r="D90" s="57"/>
      <c r="E90" s="59"/>
      <c r="F90" s="59"/>
      <c r="G90" s="59"/>
      <c r="H90" s="59"/>
      <c r="I90" s="59"/>
      <c r="J90" s="57"/>
      <c r="K90" s="65"/>
    </row>
    <row r="91" spans="1:11" x14ac:dyDescent="0.2">
      <c r="A91" s="60" t="s">
        <v>181</v>
      </c>
      <c r="B91" s="53"/>
      <c r="C91" s="87">
        <f>SUM(C86:C90)</f>
        <v>-155240.91697499994</v>
      </c>
      <c r="D91" s="87"/>
      <c r="E91" s="87">
        <f>SUM(E86:E90)</f>
        <v>-117645.13443047972</v>
      </c>
      <c r="F91" s="87"/>
      <c r="G91" s="87">
        <f>SUM(G86:G90)</f>
        <v>-37596.782544520218</v>
      </c>
      <c r="H91" s="87"/>
      <c r="I91" s="87">
        <f>SUM(I86:I90)</f>
        <v>0</v>
      </c>
      <c r="J91" s="87"/>
      <c r="K91" s="65"/>
    </row>
    <row r="92" spans="1:11" x14ac:dyDescent="0.2">
      <c r="A92" s="14"/>
      <c r="C92" s="15"/>
      <c r="D92" s="15"/>
      <c r="E92" s="15"/>
      <c r="F92" s="15"/>
      <c r="G92" s="29"/>
      <c r="H92" s="27"/>
      <c r="I92" s="29"/>
      <c r="J92" s="27"/>
      <c r="K92" s="13"/>
    </row>
    <row r="93" spans="1:11" x14ac:dyDescent="0.2">
      <c r="A93" s="14"/>
      <c r="C93" s="15"/>
      <c r="D93" s="15"/>
      <c r="E93" s="15"/>
      <c r="F93" s="15"/>
      <c r="G93" s="29"/>
      <c r="H93" s="27"/>
      <c r="I93" s="29"/>
      <c r="J93" s="27"/>
      <c r="K93" s="13"/>
    </row>
    <row r="94" spans="1:11" x14ac:dyDescent="0.2">
      <c r="A94" s="14"/>
      <c r="C94" s="15"/>
      <c r="D94" s="15"/>
      <c r="E94" s="15"/>
      <c r="F94" s="15"/>
      <c r="G94" s="29"/>
      <c r="H94" s="27"/>
      <c r="I94" s="29"/>
      <c r="J94" s="27"/>
      <c r="K94" s="13"/>
    </row>
    <row r="95" spans="1:11" x14ac:dyDescent="0.2">
      <c r="A95" s="14"/>
      <c r="C95" s="15"/>
      <c r="D95" s="15"/>
      <c r="E95" s="15"/>
      <c r="F95" s="15"/>
      <c r="G95" s="29"/>
      <c r="H95" s="27"/>
      <c r="I95" s="29"/>
      <c r="J95" s="27"/>
      <c r="K95" s="13"/>
    </row>
    <row r="96" spans="1:11" x14ac:dyDescent="0.2">
      <c r="A96" s="14"/>
      <c r="G96" s="8"/>
      <c r="H96" s="35"/>
      <c r="I96" s="8"/>
      <c r="J96" s="35"/>
      <c r="K96" s="13"/>
    </row>
    <row r="97" spans="1:11" x14ac:dyDescent="0.2">
      <c r="H97" s="34"/>
      <c r="J97" s="34"/>
      <c r="K97" s="13"/>
    </row>
    <row r="98" spans="1:11" x14ac:dyDescent="0.2">
      <c r="A98" s="1"/>
      <c r="B98" s="1"/>
      <c r="C98" s="1"/>
      <c r="D98" s="1"/>
      <c r="E98" s="1"/>
      <c r="F98" s="1"/>
      <c r="G98" s="5"/>
      <c r="H98" s="36"/>
      <c r="I98" s="5"/>
      <c r="J98" s="36"/>
      <c r="K98" s="13"/>
    </row>
    <row r="99" spans="1:11" x14ac:dyDescent="0.2">
      <c r="H99" s="34"/>
      <c r="J99" s="34"/>
    </row>
    <row r="100" spans="1:11" x14ac:dyDescent="0.2">
      <c r="C100" s="1"/>
      <c r="D100" s="1"/>
      <c r="E100" s="1"/>
      <c r="F100" s="1"/>
      <c r="G100" s="1"/>
      <c r="H100" s="37"/>
      <c r="I100" s="1"/>
      <c r="J100" s="37"/>
    </row>
    <row r="101" spans="1:11" x14ac:dyDescent="0.2">
      <c r="C101" s="1"/>
      <c r="D101" s="1"/>
      <c r="E101" s="1"/>
      <c r="F101" s="1"/>
      <c r="G101" s="1"/>
      <c r="H101" s="37"/>
      <c r="I101" s="1"/>
      <c r="J101" s="37"/>
    </row>
    <row r="102" spans="1:11" x14ac:dyDescent="0.2">
      <c r="G102" s="11"/>
      <c r="H102" s="11"/>
      <c r="I102" s="11"/>
      <c r="J102" s="38"/>
    </row>
    <row r="103" spans="1:11" x14ac:dyDescent="0.2">
      <c r="G103" s="12"/>
      <c r="H103" s="12"/>
      <c r="I103" s="12"/>
      <c r="J103" s="39"/>
    </row>
    <row r="104" spans="1:11" x14ac:dyDescent="0.2">
      <c r="J104" s="34"/>
    </row>
    <row r="105" spans="1:11" x14ac:dyDescent="0.2">
      <c r="J105" s="34"/>
    </row>
    <row r="106" spans="1:11" x14ac:dyDescent="0.2">
      <c r="A106" s="2"/>
      <c r="J106" s="34"/>
    </row>
    <row r="107" spans="1:11" x14ac:dyDescent="0.2">
      <c r="G107" s="4"/>
      <c r="H107" s="4"/>
      <c r="I107" s="4"/>
      <c r="J107" s="40"/>
    </row>
    <row r="108" spans="1:11" x14ac:dyDescent="0.2">
      <c r="G108" s="4"/>
      <c r="H108" s="4"/>
      <c r="I108" s="4"/>
      <c r="J108" s="40"/>
    </row>
    <row r="109" spans="1:11" x14ac:dyDescent="0.2">
      <c r="G109" s="4"/>
      <c r="H109" s="4"/>
      <c r="I109" s="4"/>
      <c r="J109" s="40"/>
    </row>
    <row r="110" spans="1:11" x14ac:dyDescent="0.2">
      <c r="G110" s="4"/>
      <c r="H110" s="4"/>
      <c r="I110" s="4"/>
      <c r="J110" s="40"/>
    </row>
    <row r="111" spans="1:11" x14ac:dyDescent="0.2">
      <c r="G111" s="4"/>
      <c r="H111" s="4"/>
      <c r="I111" s="4"/>
      <c r="J111" s="40"/>
    </row>
    <row r="112" spans="1:11" x14ac:dyDescent="0.2">
      <c r="G112" s="6"/>
      <c r="H112" s="6"/>
      <c r="I112" s="6"/>
      <c r="J112" s="41"/>
    </row>
    <row r="113" spans="1:10" x14ac:dyDescent="0.2">
      <c r="G113" s="6"/>
      <c r="H113" s="6"/>
      <c r="I113" s="6"/>
      <c r="J113" s="41"/>
    </row>
    <row r="114" spans="1:10" x14ac:dyDescent="0.2">
      <c r="G114" s="4"/>
      <c r="H114" s="4"/>
      <c r="I114" s="4"/>
      <c r="J114" s="40"/>
    </row>
    <row r="115" spans="1:10" x14ac:dyDescent="0.2">
      <c r="A115" s="2"/>
      <c r="G115" s="4"/>
      <c r="H115" s="4"/>
      <c r="I115" s="4"/>
      <c r="J115" s="40"/>
    </row>
    <row r="116" spans="1:10" x14ac:dyDescent="0.2">
      <c r="G116" s="4"/>
      <c r="H116" s="4"/>
      <c r="I116" s="4"/>
      <c r="J116" s="40"/>
    </row>
    <row r="117" spans="1:10" x14ac:dyDescent="0.2">
      <c r="G117" s="4"/>
      <c r="H117" s="4"/>
      <c r="I117" s="4"/>
      <c r="J117" s="40"/>
    </row>
    <row r="118" spans="1:10" x14ac:dyDescent="0.2">
      <c r="G118" s="4"/>
      <c r="H118" s="4"/>
      <c r="I118" s="4"/>
      <c r="J118" s="40"/>
    </row>
    <row r="119" spans="1:10" x14ac:dyDescent="0.2">
      <c r="G119" s="4"/>
      <c r="H119" s="4"/>
      <c r="I119" s="4"/>
      <c r="J119" s="40"/>
    </row>
    <row r="120" spans="1:10" x14ac:dyDescent="0.2">
      <c r="G120" s="4"/>
      <c r="H120" s="4"/>
      <c r="I120" s="4"/>
      <c r="J120" s="40"/>
    </row>
    <row r="121" spans="1:10" x14ac:dyDescent="0.2">
      <c r="G121" s="4"/>
      <c r="H121" s="4"/>
      <c r="I121" s="4"/>
      <c r="J121" s="40"/>
    </row>
    <row r="122" spans="1:10" x14ac:dyDescent="0.2">
      <c r="G122" s="6"/>
      <c r="H122" s="6"/>
      <c r="I122" s="6"/>
      <c r="J122" s="41"/>
    </row>
    <row r="123" spans="1:10" x14ac:dyDescent="0.2">
      <c r="G123" s="6"/>
      <c r="H123" s="6"/>
      <c r="I123" s="6"/>
      <c r="J123" s="41"/>
    </row>
    <row r="124" spans="1:10" x14ac:dyDescent="0.2">
      <c r="G124" s="4"/>
      <c r="H124" s="4"/>
      <c r="I124" s="4"/>
      <c r="J124" s="4"/>
    </row>
    <row r="125" spans="1:10" x14ac:dyDescent="0.2">
      <c r="G125" s="4"/>
      <c r="H125" s="4"/>
      <c r="I125" s="4"/>
      <c r="J125" s="4"/>
    </row>
    <row r="126" spans="1:10" x14ac:dyDescent="0.2">
      <c r="G126" s="6"/>
      <c r="H126" s="6"/>
      <c r="I126" s="6"/>
      <c r="J126" s="6"/>
    </row>
    <row r="127" spans="1:10" x14ac:dyDescent="0.2">
      <c r="G127" s="6"/>
      <c r="H127" s="6"/>
      <c r="I127" s="6"/>
      <c r="J127" s="6"/>
    </row>
    <row r="128" spans="1:10" x14ac:dyDescent="0.2">
      <c r="G128" s="4"/>
      <c r="H128" s="4"/>
      <c r="I128" s="4"/>
      <c r="J128" s="4"/>
    </row>
    <row r="129" spans="7:10" x14ac:dyDescent="0.2">
      <c r="G129" s="4"/>
      <c r="H129" s="4"/>
      <c r="I129" s="4"/>
      <c r="J129" s="4"/>
    </row>
    <row r="130" spans="7:10" x14ac:dyDescent="0.2">
      <c r="G130" s="4"/>
      <c r="H130" s="4"/>
      <c r="I130" s="4"/>
      <c r="J130" s="4"/>
    </row>
    <row r="131" spans="7:10" x14ac:dyDescent="0.2">
      <c r="G131" s="4"/>
      <c r="H131" s="4"/>
      <c r="I131" s="4"/>
      <c r="J131" s="4"/>
    </row>
    <row r="132" spans="7:10" x14ac:dyDescent="0.2">
      <c r="G132" s="6"/>
      <c r="H132" s="6"/>
      <c r="I132" s="6"/>
      <c r="J132" s="6"/>
    </row>
    <row r="133" spans="7:10" x14ac:dyDescent="0.2">
      <c r="G133" s="6"/>
      <c r="H133" s="6"/>
      <c r="I133" s="6"/>
      <c r="J133" s="6"/>
    </row>
    <row r="134" spans="7:10" x14ac:dyDescent="0.2">
      <c r="G134" s="4"/>
      <c r="H134" s="4"/>
      <c r="I134" s="4"/>
      <c r="J134" s="4"/>
    </row>
    <row r="135" spans="7:10" x14ac:dyDescent="0.2">
      <c r="G135" s="4"/>
      <c r="H135" s="4"/>
      <c r="I135" s="4"/>
      <c r="J135" s="4"/>
    </row>
    <row r="136" spans="7:10" x14ac:dyDescent="0.2">
      <c r="G136" s="4"/>
      <c r="H136" s="4"/>
      <c r="I136" s="4"/>
      <c r="J136" s="4"/>
    </row>
    <row r="137" spans="7:10" x14ac:dyDescent="0.2">
      <c r="G137" s="6"/>
      <c r="H137" s="6"/>
      <c r="I137" s="6"/>
      <c r="J137" s="6"/>
    </row>
    <row r="138" spans="7:10" x14ac:dyDescent="0.2">
      <c r="G138" s="6"/>
      <c r="H138" s="6"/>
      <c r="I138" s="6"/>
      <c r="J138" s="6"/>
    </row>
    <row r="139" spans="7:10" x14ac:dyDescent="0.2">
      <c r="G139" s="4"/>
      <c r="H139" s="4"/>
      <c r="I139" s="4"/>
      <c r="J139" s="4"/>
    </row>
    <row r="140" spans="7:10" x14ac:dyDescent="0.2">
      <c r="G140" s="4"/>
      <c r="H140" s="4"/>
      <c r="I140" s="4"/>
      <c r="J140" s="4"/>
    </row>
    <row r="141" spans="7:10" x14ac:dyDescent="0.2">
      <c r="G141" s="4"/>
      <c r="H141" s="4"/>
      <c r="I141" s="4"/>
      <c r="J141" s="4"/>
    </row>
    <row r="142" spans="7:10" x14ac:dyDescent="0.2">
      <c r="G142" s="7"/>
      <c r="H142" s="7"/>
      <c r="I142" s="7"/>
      <c r="J142" s="7"/>
    </row>
    <row r="143" spans="7:10" x14ac:dyDescent="0.2">
      <c r="G143" s="6"/>
      <c r="H143" s="6"/>
      <c r="I143" s="6"/>
      <c r="J143" s="6"/>
    </row>
    <row r="144" spans="7:10" x14ac:dyDescent="0.2">
      <c r="G144" s="6"/>
      <c r="H144" s="6"/>
      <c r="I144" s="6"/>
      <c r="J144" s="6"/>
    </row>
    <row r="145" spans="7:10" x14ac:dyDescent="0.2">
      <c r="G145" s="4"/>
      <c r="H145" s="4"/>
      <c r="I145" s="4"/>
      <c r="J145" s="4"/>
    </row>
    <row r="146" spans="7:10" x14ac:dyDescent="0.2">
      <c r="G146" s="4"/>
      <c r="H146" s="4"/>
      <c r="I146" s="4"/>
      <c r="J146" s="4"/>
    </row>
    <row r="147" spans="7:10" x14ac:dyDescent="0.2">
      <c r="G147" s="4"/>
      <c r="H147" s="4"/>
      <c r="I147" s="4"/>
      <c r="J147" s="4"/>
    </row>
    <row r="148" spans="7:10" x14ac:dyDescent="0.2">
      <c r="G148" s="6"/>
      <c r="H148" s="6"/>
      <c r="I148" s="6"/>
      <c r="J148" s="6"/>
    </row>
    <row r="149" spans="7:10" x14ac:dyDescent="0.2">
      <c r="G149" s="6"/>
      <c r="H149" s="6"/>
      <c r="I149" s="6"/>
      <c r="J149" s="6"/>
    </row>
    <row r="150" spans="7:10" x14ac:dyDescent="0.2">
      <c r="G150" s="4"/>
      <c r="H150" s="4"/>
      <c r="I150" s="4"/>
      <c r="J150" s="4"/>
    </row>
    <row r="151" spans="7:10" x14ac:dyDescent="0.2">
      <c r="G151" s="6"/>
      <c r="H151" s="6"/>
      <c r="I151" s="6"/>
      <c r="J151" s="6"/>
    </row>
    <row r="152" spans="7:10" x14ac:dyDescent="0.2">
      <c r="G152" s="4"/>
      <c r="H152" s="4"/>
      <c r="I152" s="4"/>
      <c r="J152" s="4"/>
    </row>
    <row r="153" spans="7:10" x14ac:dyDescent="0.2">
      <c r="G153" s="10"/>
      <c r="H153" s="10"/>
      <c r="I153" s="10"/>
      <c r="J153" s="10"/>
    </row>
  </sheetData>
  <mergeCells count="10">
    <mergeCell ref="A1:K1"/>
    <mergeCell ref="A2:K2"/>
    <mergeCell ref="A3:K3"/>
    <mergeCell ref="A12:B12"/>
    <mergeCell ref="A15:B15"/>
    <mergeCell ref="A66:B66"/>
    <mergeCell ref="A67:B67"/>
    <mergeCell ref="A19:B19"/>
    <mergeCell ref="A18:B18"/>
    <mergeCell ref="A11:B11"/>
  </mergeCells>
  <pageMargins left="0.2" right="0.2" top="0.25" bottom="0.2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72"/>
  <sheetViews>
    <sheetView tabSelected="1" topLeftCell="A58" zoomScale="160" zoomScaleNormal="160" zoomScalePageLayoutView="125" workbookViewId="0">
      <selection activeCell="A48" sqref="A47:L71"/>
    </sheetView>
  </sheetViews>
  <sheetFormatPr defaultColWidth="8.7109375" defaultRowHeight="12.75" x14ac:dyDescent="0.2"/>
  <cols>
    <col min="1" max="1" width="18.7109375" customWidth="1"/>
    <col min="2" max="2" width="33.7109375" customWidth="1"/>
    <col min="3" max="3" width="13.28515625" customWidth="1"/>
    <col min="4" max="5" width="8.5703125" customWidth="1"/>
    <col min="6" max="6" width="10.85546875" customWidth="1"/>
    <col min="7" max="7" width="8.85546875" customWidth="1"/>
    <col min="8" max="8" width="11.28515625" customWidth="1"/>
    <col min="9" max="9" width="2.140625" customWidth="1"/>
    <col min="10" max="10" width="10.42578125" bestFit="1" customWidth="1"/>
    <col min="11" max="11" width="1.42578125" customWidth="1"/>
    <col min="12" max="12" width="11" customWidth="1"/>
    <col min="13" max="13" width="1.42578125" customWidth="1"/>
    <col min="14" max="14" width="12.28515625" customWidth="1"/>
    <col min="15" max="15" width="7.42578125" customWidth="1"/>
    <col min="16" max="16" width="12" customWidth="1"/>
    <col min="17" max="17" width="1.5703125" customWidth="1"/>
    <col min="18" max="18" width="15.5703125" customWidth="1"/>
    <col min="19" max="19" width="8.140625" customWidth="1"/>
  </cols>
  <sheetData>
    <row r="1" spans="1:21" ht="15" x14ac:dyDescent="0.25">
      <c r="A1" s="203" t="s">
        <v>258</v>
      </c>
      <c r="B1" s="203"/>
      <c r="C1" s="203"/>
      <c r="D1" s="203"/>
      <c r="E1" s="203"/>
      <c r="F1" s="203"/>
      <c r="G1" s="203"/>
      <c r="H1" s="203"/>
      <c r="I1" s="203"/>
      <c r="J1" s="33"/>
      <c r="K1" s="33"/>
      <c r="L1" s="33"/>
      <c r="M1" s="33"/>
      <c r="N1" s="33"/>
      <c r="O1" s="33"/>
      <c r="P1" s="33"/>
      <c r="Q1" s="33"/>
      <c r="R1" s="33"/>
      <c r="S1" s="33"/>
    </row>
    <row r="2" spans="1:21" ht="15" x14ac:dyDescent="0.25">
      <c r="A2" s="203" t="s">
        <v>29</v>
      </c>
      <c r="B2" s="203"/>
      <c r="C2" s="203"/>
      <c r="D2" s="203"/>
      <c r="E2" s="203"/>
      <c r="F2" s="203"/>
      <c r="G2" s="203"/>
      <c r="H2" s="203"/>
      <c r="I2" s="203"/>
      <c r="J2" s="33"/>
      <c r="K2" s="33"/>
      <c r="L2" s="33"/>
      <c r="M2" s="33"/>
      <c r="N2" s="33"/>
      <c r="O2" s="33"/>
      <c r="P2" s="33"/>
      <c r="Q2" s="33"/>
      <c r="R2" s="33"/>
      <c r="S2" s="33"/>
    </row>
    <row r="3" spans="1:21" ht="15" x14ac:dyDescent="0.25">
      <c r="A3" s="203" t="s">
        <v>93</v>
      </c>
      <c r="B3" s="203"/>
      <c r="C3" s="203"/>
      <c r="D3" s="203"/>
      <c r="E3" s="203"/>
      <c r="F3" s="203"/>
      <c r="G3" s="203"/>
      <c r="H3" s="203"/>
      <c r="I3" s="203"/>
      <c r="J3" s="33"/>
      <c r="K3" s="33"/>
      <c r="L3" s="33"/>
      <c r="M3" s="33"/>
      <c r="N3" s="33"/>
      <c r="O3" s="33"/>
      <c r="P3" s="33"/>
      <c r="Q3" s="33"/>
      <c r="R3" s="33"/>
      <c r="S3" s="33"/>
    </row>
    <row r="4" spans="1:21" ht="15" x14ac:dyDescent="0.25">
      <c r="A4" s="203" t="s">
        <v>182</v>
      </c>
      <c r="B4" s="203"/>
      <c r="C4" s="203"/>
      <c r="D4" s="203"/>
      <c r="E4" s="203"/>
      <c r="F4" s="203"/>
      <c r="G4" s="203"/>
      <c r="H4" s="203"/>
      <c r="I4" s="203"/>
      <c r="J4" s="33"/>
      <c r="K4" s="33"/>
      <c r="L4" s="33"/>
      <c r="M4" s="33"/>
      <c r="N4" s="33"/>
      <c r="O4" s="33"/>
      <c r="P4" s="33"/>
      <c r="Q4" s="33"/>
      <c r="R4" s="33"/>
      <c r="S4" s="33"/>
    </row>
    <row r="5" spans="1:21" x14ac:dyDescent="0.2">
      <c r="A5" s="33"/>
      <c r="B5" s="33"/>
      <c r="C5" s="33"/>
      <c r="D5" s="33"/>
      <c r="E5" s="33"/>
      <c r="F5" s="33"/>
      <c r="G5" s="33"/>
      <c r="H5" s="33"/>
      <c r="I5" s="33"/>
      <c r="J5" s="33"/>
      <c r="K5" s="33"/>
      <c r="L5" s="33"/>
      <c r="M5" s="33"/>
      <c r="N5" s="33"/>
      <c r="O5" s="33"/>
      <c r="P5" s="33"/>
      <c r="Q5" s="33"/>
      <c r="R5" s="33"/>
      <c r="S5" s="33"/>
    </row>
    <row r="6" spans="1:21" ht="15" x14ac:dyDescent="0.25">
      <c r="A6" s="32"/>
      <c r="B6" s="32"/>
      <c r="C6" s="32"/>
      <c r="D6" s="32"/>
      <c r="E6" s="32"/>
      <c r="F6" s="32"/>
      <c r="G6" s="32"/>
      <c r="H6" s="200" t="s">
        <v>139</v>
      </c>
      <c r="I6" s="201"/>
      <c r="J6" s="201"/>
      <c r="K6" s="201"/>
      <c r="L6" s="202"/>
      <c r="M6" s="32"/>
      <c r="N6" s="101"/>
      <c r="O6" s="32"/>
      <c r="P6" s="145">
        <v>2015</v>
      </c>
      <c r="Q6" s="32"/>
      <c r="R6" s="102" t="s">
        <v>51</v>
      </c>
      <c r="S6" s="32"/>
      <c r="U6" s="144"/>
    </row>
    <row r="7" spans="1:21" ht="15" x14ac:dyDescent="0.25">
      <c r="A7" s="32"/>
      <c r="B7" s="32"/>
      <c r="C7" s="101" t="s">
        <v>97</v>
      </c>
      <c r="D7" s="143"/>
      <c r="E7" s="104"/>
      <c r="F7" s="105">
        <v>42064</v>
      </c>
      <c r="G7" s="105" t="s">
        <v>161</v>
      </c>
      <c r="H7" s="106" t="s">
        <v>41</v>
      </c>
      <c r="I7" s="32"/>
      <c r="J7" s="32"/>
      <c r="K7" s="32"/>
      <c r="L7" s="106" t="s">
        <v>42</v>
      </c>
      <c r="M7" s="32"/>
      <c r="N7" s="101" t="s">
        <v>97</v>
      </c>
      <c r="O7" s="106"/>
      <c r="P7" s="140" t="s">
        <v>99</v>
      </c>
      <c r="Q7" s="106"/>
      <c r="R7" s="102" t="s">
        <v>94</v>
      </c>
      <c r="S7" s="106"/>
      <c r="U7" s="144"/>
    </row>
    <row r="8" spans="1:21" ht="15" x14ac:dyDescent="0.25">
      <c r="A8" s="107" t="s">
        <v>67</v>
      </c>
      <c r="B8" s="107" t="s">
        <v>68</v>
      </c>
      <c r="C8" s="108" t="s">
        <v>98</v>
      </c>
      <c r="D8" s="107" t="s">
        <v>154</v>
      </c>
      <c r="E8" s="107" t="s">
        <v>63</v>
      </c>
      <c r="F8" s="107" t="s">
        <v>30</v>
      </c>
      <c r="G8" s="107" t="s">
        <v>162</v>
      </c>
      <c r="H8" s="109" t="s">
        <v>30</v>
      </c>
      <c r="I8" s="32"/>
      <c r="J8" s="107" t="s">
        <v>74</v>
      </c>
      <c r="K8" s="32"/>
      <c r="L8" s="107" t="s">
        <v>30</v>
      </c>
      <c r="M8" s="32"/>
      <c r="N8" s="108" t="s">
        <v>98</v>
      </c>
      <c r="O8" s="106"/>
      <c r="P8" s="107" t="s">
        <v>100</v>
      </c>
      <c r="Q8" s="106"/>
      <c r="R8" s="110" t="s">
        <v>34</v>
      </c>
      <c r="S8" s="106"/>
      <c r="U8" s="144"/>
    </row>
    <row r="9" spans="1:21" ht="15" x14ac:dyDescent="0.25">
      <c r="A9" s="111"/>
      <c r="B9" s="111"/>
      <c r="C9" s="111"/>
      <c r="D9" s="111"/>
      <c r="E9" s="111"/>
      <c r="F9" s="111"/>
      <c r="G9" s="111"/>
      <c r="H9" s="112"/>
      <c r="I9" s="32"/>
      <c r="J9" s="113"/>
      <c r="K9" s="113"/>
      <c r="L9" s="113"/>
      <c r="M9" s="113"/>
      <c r="N9" s="113"/>
      <c r="O9" s="113"/>
      <c r="P9" s="113"/>
      <c r="Q9" s="113"/>
      <c r="R9" s="113"/>
      <c r="S9" s="113"/>
      <c r="U9" s="17"/>
    </row>
    <row r="10" spans="1:21" ht="15" x14ac:dyDescent="0.25">
      <c r="A10" s="114" t="s">
        <v>33</v>
      </c>
      <c r="B10" s="114"/>
      <c r="C10" s="114"/>
      <c r="D10" s="114"/>
      <c r="E10" s="114"/>
      <c r="F10" s="114"/>
      <c r="G10" s="114"/>
      <c r="H10" s="32"/>
      <c r="I10" s="32"/>
      <c r="J10" s="113"/>
      <c r="K10" s="113"/>
      <c r="L10" s="113"/>
      <c r="M10" s="113"/>
      <c r="N10" s="113"/>
      <c r="O10" s="113"/>
      <c r="P10" s="113"/>
      <c r="Q10" s="113"/>
      <c r="R10" s="113"/>
      <c r="S10" s="113"/>
      <c r="U10" s="17"/>
    </row>
    <row r="11" spans="1:21" ht="15" x14ac:dyDescent="0.25">
      <c r="A11" s="32" t="s">
        <v>244</v>
      </c>
      <c r="B11" s="186" t="s">
        <v>95</v>
      </c>
      <c r="C11" s="187">
        <f>O42</f>
        <v>0.68965517241379315</v>
      </c>
      <c r="D11" s="187"/>
      <c r="E11" s="188">
        <f>S42</f>
        <v>0.31034482758620691</v>
      </c>
      <c r="F11" s="112">
        <v>105000</v>
      </c>
      <c r="G11" s="112"/>
      <c r="H11" s="112">
        <v>105000</v>
      </c>
      <c r="I11" s="32"/>
      <c r="J11" s="113">
        <v>0</v>
      </c>
      <c r="K11" s="113"/>
      <c r="L11" s="113">
        <f t="shared" ref="L11:L18" si="0">SUM(H11:J11)</f>
        <v>105000</v>
      </c>
      <c r="M11" s="113"/>
      <c r="N11" s="113">
        <f t="shared" ref="N11:N18" si="1">L11*C11</f>
        <v>72413.793103448275</v>
      </c>
      <c r="O11" s="113"/>
      <c r="P11" s="113">
        <f t="shared" ref="P11:P18" si="2">L11*D11</f>
        <v>0</v>
      </c>
      <c r="Q11" s="113">
        <f>O11*H11</f>
        <v>0</v>
      </c>
      <c r="R11" s="113">
        <f>L11*E11</f>
        <v>32586.206896551725</v>
      </c>
      <c r="S11" s="113"/>
    </row>
    <row r="12" spans="1:21" ht="15" x14ac:dyDescent="0.25">
      <c r="A12" s="32" t="s">
        <v>245</v>
      </c>
      <c r="B12" s="186" t="s">
        <v>155</v>
      </c>
      <c r="C12" s="187">
        <f>O42</f>
        <v>0.68965517241379315</v>
      </c>
      <c r="D12" s="187"/>
      <c r="E12" s="188">
        <f>S42</f>
        <v>0.31034482758620691</v>
      </c>
      <c r="F12" s="112">
        <v>57785</v>
      </c>
      <c r="G12" s="130">
        <v>2.5000000000000001E-2</v>
      </c>
      <c r="H12" s="112">
        <f t="shared" ref="H12:H17" si="3">F12*1.025</f>
        <v>59229.624999999993</v>
      </c>
      <c r="I12" s="32" t="s">
        <v>171</v>
      </c>
      <c r="J12" s="113">
        <v>0</v>
      </c>
      <c r="K12" s="113"/>
      <c r="L12" s="113">
        <f t="shared" si="0"/>
        <v>59229.624999999993</v>
      </c>
      <c r="M12" s="113"/>
      <c r="N12" s="133">
        <f t="shared" si="1"/>
        <v>40848.017241379312</v>
      </c>
      <c r="O12" s="113"/>
      <c r="P12" s="113">
        <f t="shared" si="2"/>
        <v>0</v>
      </c>
      <c r="Q12" s="113"/>
      <c r="R12" s="133">
        <f>L12*E12</f>
        <v>18381.607758620688</v>
      </c>
      <c r="S12" s="113"/>
    </row>
    <row r="13" spans="1:21" ht="15" x14ac:dyDescent="0.25">
      <c r="A13" s="32" t="s">
        <v>246</v>
      </c>
      <c r="B13" s="189" t="s">
        <v>157</v>
      </c>
      <c r="C13" s="190">
        <f>C59</f>
        <v>0.65625</v>
      </c>
      <c r="D13" s="190">
        <v>0</v>
      </c>
      <c r="E13" s="191">
        <f>D59</f>
        <v>0.34375</v>
      </c>
      <c r="F13" s="112">
        <v>35875</v>
      </c>
      <c r="G13" s="130">
        <v>2.5000000000000001E-2</v>
      </c>
      <c r="H13" s="112">
        <f t="shared" si="3"/>
        <v>36771.875</v>
      </c>
      <c r="I13" s="32" t="s">
        <v>171</v>
      </c>
      <c r="J13" s="113">
        <v>0</v>
      </c>
      <c r="K13" s="113"/>
      <c r="L13" s="113">
        <f t="shared" si="0"/>
        <v>36771.875</v>
      </c>
      <c r="M13" s="113"/>
      <c r="N13" s="113">
        <f t="shared" si="1"/>
        <v>24131.54296875</v>
      </c>
      <c r="O13" s="113">
        <v>105</v>
      </c>
      <c r="P13" s="113">
        <f t="shared" si="2"/>
        <v>0</v>
      </c>
      <c r="Q13" s="113"/>
      <c r="R13" s="113">
        <f t="shared" ref="R13:R18" si="4">L13*E13</f>
        <v>12640.33203125</v>
      </c>
      <c r="S13" s="113">
        <v>55</v>
      </c>
    </row>
    <row r="14" spans="1:21" ht="15" x14ac:dyDescent="0.25">
      <c r="A14" s="32" t="s">
        <v>247</v>
      </c>
      <c r="B14" s="189" t="s">
        <v>157</v>
      </c>
      <c r="C14" s="190">
        <v>0</v>
      </c>
      <c r="D14" s="190">
        <v>0</v>
      </c>
      <c r="E14" s="191">
        <v>1</v>
      </c>
      <c r="F14" s="112">
        <v>51817</v>
      </c>
      <c r="G14" s="130">
        <v>2.5000000000000001E-2</v>
      </c>
      <c r="H14" s="112">
        <f t="shared" si="3"/>
        <v>53112.424999999996</v>
      </c>
      <c r="I14" s="32" t="s">
        <v>171</v>
      </c>
      <c r="J14" s="113">
        <v>0</v>
      </c>
      <c r="K14" s="113"/>
      <c r="L14" s="113">
        <f t="shared" si="0"/>
        <v>53112.424999999996</v>
      </c>
      <c r="M14" s="113"/>
      <c r="N14" s="113">
        <f t="shared" si="1"/>
        <v>0</v>
      </c>
      <c r="O14" s="113"/>
      <c r="P14" s="113">
        <f t="shared" si="2"/>
        <v>0</v>
      </c>
      <c r="Q14" s="113"/>
      <c r="R14" s="113">
        <f t="shared" si="4"/>
        <v>53112.424999999996</v>
      </c>
      <c r="S14" s="113">
        <v>160</v>
      </c>
    </row>
    <row r="15" spans="1:21" ht="15" customHeight="1" x14ac:dyDescent="0.25">
      <c r="A15" s="32" t="s">
        <v>248</v>
      </c>
      <c r="B15" s="189" t="s">
        <v>158</v>
      </c>
      <c r="C15" s="190">
        <f>C72</f>
        <v>0.58750000000000002</v>
      </c>
      <c r="D15" s="190">
        <v>0</v>
      </c>
      <c r="E15" s="191">
        <f>D72</f>
        <v>0.41249999999999998</v>
      </c>
      <c r="F15" s="112">
        <v>38348</v>
      </c>
      <c r="G15" s="130">
        <v>2.5000000000000001E-2</v>
      </c>
      <c r="H15" s="112">
        <f t="shared" si="3"/>
        <v>39306.699999999997</v>
      </c>
      <c r="I15" s="32" t="s">
        <v>171</v>
      </c>
      <c r="J15" s="113">
        <v>0</v>
      </c>
      <c r="K15" s="113"/>
      <c r="L15" s="113">
        <f t="shared" si="0"/>
        <v>39306.699999999997</v>
      </c>
      <c r="M15" s="113"/>
      <c r="N15" s="113">
        <f t="shared" si="1"/>
        <v>23092.686249999999</v>
      </c>
      <c r="O15" s="113">
        <v>94</v>
      </c>
      <c r="P15" s="113">
        <f t="shared" si="2"/>
        <v>0</v>
      </c>
      <c r="Q15" s="113"/>
      <c r="R15" s="113">
        <f t="shared" si="4"/>
        <v>16214.013749999998</v>
      </c>
      <c r="S15" s="113">
        <v>66</v>
      </c>
    </row>
    <row r="16" spans="1:21" ht="15" x14ac:dyDescent="0.25">
      <c r="A16" s="86" t="s">
        <v>249</v>
      </c>
      <c r="B16" s="189" t="s">
        <v>158</v>
      </c>
      <c r="C16" s="190">
        <v>0</v>
      </c>
      <c r="D16" s="190">
        <v>0</v>
      </c>
      <c r="E16" s="191">
        <v>1</v>
      </c>
      <c r="F16" s="112">
        <v>34275</v>
      </c>
      <c r="G16" s="130">
        <v>2.5000000000000001E-2</v>
      </c>
      <c r="H16" s="112">
        <f t="shared" si="3"/>
        <v>35131.875</v>
      </c>
      <c r="I16" s="32" t="s">
        <v>171</v>
      </c>
      <c r="J16" s="113">
        <v>0</v>
      </c>
      <c r="K16" s="113"/>
      <c r="L16" s="113">
        <f t="shared" si="0"/>
        <v>35131.875</v>
      </c>
      <c r="M16" s="113"/>
      <c r="N16" s="113">
        <f t="shared" si="1"/>
        <v>0</v>
      </c>
      <c r="O16" s="113"/>
      <c r="P16" s="113">
        <f t="shared" si="2"/>
        <v>0</v>
      </c>
      <c r="Q16" s="113"/>
      <c r="R16" s="113">
        <f t="shared" si="4"/>
        <v>35131.875</v>
      </c>
      <c r="S16" s="113">
        <v>160</v>
      </c>
    </row>
    <row r="17" spans="1:20" ht="15" customHeight="1" x14ac:dyDescent="0.25">
      <c r="A17" s="86" t="s">
        <v>250</v>
      </c>
      <c r="B17" s="189" t="s">
        <v>156</v>
      </c>
      <c r="C17" s="190">
        <v>1</v>
      </c>
      <c r="D17" s="190">
        <v>0</v>
      </c>
      <c r="E17" s="191">
        <v>0</v>
      </c>
      <c r="F17" s="112">
        <v>26680</v>
      </c>
      <c r="G17" s="130">
        <v>2.5000000000000001E-2</v>
      </c>
      <c r="H17" s="112">
        <f t="shared" si="3"/>
        <v>27346.999999999996</v>
      </c>
      <c r="I17" s="32" t="s">
        <v>171</v>
      </c>
      <c r="J17" s="113">
        <v>0</v>
      </c>
      <c r="K17" s="113"/>
      <c r="L17" s="113">
        <f t="shared" si="0"/>
        <v>27346.999999999996</v>
      </c>
      <c r="M17" s="113"/>
      <c r="N17" s="133">
        <f t="shared" si="1"/>
        <v>27346.999999999996</v>
      </c>
      <c r="O17" s="113">
        <v>160</v>
      </c>
      <c r="P17" s="113">
        <f t="shared" si="2"/>
        <v>0</v>
      </c>
      <c r="Q17" s="113"/>
      <c r="R17" s="113">
        <f t="shared" si="4"/>
        <v>0</v>
      </c>
      <c r="S17" s="113"/>
    </row>
    <row r="18" spans="1:20" ht="15" customHeight="1" x14ac:dyDescent="0.25">
      <c r="A18" s="86" t="s">
        <v>251</v>
      </c>
      <c r="B18" s="189" t="s">
        <v>208</v>
      </c>
      <c r="C18" s="190">
        <v>0</v>
      </c>
      <c r="D18" s="190">
        <v>0</v>
      </c>
      <c r="E18" s="191">
        <v>1</v>
      </c>
      <c r="F18" s="112">
        <v>14000</v>
      </c>
      <c r="G18" s="130">
        <v>0</v>
      </c>
      <c r="H18" s="112">
        <f>F18</f>
        <v>14000</v>
      </c>
      <c r="I18" s="32"/>
      <c r="J18" s="113">
        <v>0</v>
      </c>
      <c r="K18" s="113"/>
      <c r="L18" s="113">
        <f t="shared" si="0"/>
        <v>14000</v>
      </c>
      <c r="M18" s="113"/>
      <c r="N18" s="133">
        <f t="shared" si="1"/>
        <v>0</v>
      </c>
      <c r="O18" s="113"/>
      <c r="P18" s="113">
        <f t="shared" si="2"/>
        <v>0</v>
      </c>
      <c r="Q18" s="113"/>
      <c r="R18" s="113">
        <f t="shared" si="4"/>
        <v>14000</v>
      </c>
      <c r="S18" s="113"/>
    </row>
    <row r="19" spans="1:20" ht="15" customHeight="1" x14ac:dyDescent="0.25">
      <c r="A19" s="86"/>
      <c r="B19" s="32" t="s">
        <v>185</v>
      </c>
      <c r="C19" s="115"/>
      <c r="D19" s="115"/>
      <c r="E19" s="124"/>
      <c r="F19" s="112"/>
      <c r="G19" s="130"/>
      <c r="H19" s="112">
        <v>0</v>
      </c>
      <c r="I19" s="32"/>
      <c r="J19" s="113">
        <v>15000</v>
      </c>
      <c r="K19" s="113"/>
      <c r="L19" s="113">
        <v>15000</v>
      </c>
      <c r="M19" s="113"/>
      <c r="N19" s="133">
        <v>7500</v>
      </c>
      <c r="O19" s="113"/>
      <c r="P19" s="113"/>
      <c r="Q19" s="113"/>
      <c r="R19" s="113">
        <v>7500</v>
      </c>
      <c r="S19" s="113"/>
    </row>
    <row r="20" spans="1:20" ht="15" x14ac:dyDescent="0.25">
      <c r="A20" s="32"/>
      <c r="B20" s="32"/>
      <c r="C20" s="116"/>
      <c r="D20" s="116"/>
      <c r="E20" s="116"/>
      <c r="F20" s="117"/>
      <c r="G20" s="131"/>
      <c r="H20" s="118">
        <f>SUM(H11:H17)</f>
        <v>355899.5</v>
      </c>
      <c r="I20" s="32"/>
      <c r="J20" s="119">
        <f>SUM(J10:J19)</f>
        <v>15000</v>
      </c>
      <c r="K20" s="113"/>
      <c r="L20" s="118">
        <f>SUM(L8:L19)</f>
        <v>384899.5</v>
      </c>
      <c r="M20" s="113"/>
      <c r="N20" s="118">
        <f>SUM(N11:N19)-1</f>
        <v>195332.03956357759</v>
      </c>
      <c r="O20" s="113"/>
      <c r="P20" s="118">
        <f>SUM(P11:P19)</f>
        <v>0</v>
      </c>
      <c r="Q20" s="113"/>
      <c r="R20" s="118">
        <f>SUM(R11:R19)+1</f>
        <v>189567.46043642241</v>
      </c>
      <c r="S20" s="113"/>
    </row>
    <row r="21" spans="1:20" ht="15" x14ac:dyDescent="0.25">
      <c r="B21" s="32"/>
      <c r="C21" s="116"/>
      <c r="D21" s="116"/>
      <c r="E21" s="116"/>
      <c r="F21" s="117"/>
      <c r="G21" s="131"/>
      <c r="H21" s="123"/>
      <c r="I21" s="32"/>
      <c r="J21" s="123"/>
      <c r="K21" s="113"/>
      <c r="L21" s="123"/>
      <c r="M21" s="113"/>
      <c r="N21" s="123"/>
      <c r="O21" s="113"/>
      <c r="P21" s="123"/>
      <c r="Q21" s="113"/>
      <c r="R21" s="123"/>
      <c r="S21" s="113"/>
    </row>
    <row r="22" spans="1:20" ht="15" x14ac:dyDescent="0.25">
      <c r="A22" s="32" t="s">
        <v>236</v>
      </c>
      <c r="B22" s="32"/>
      <c r="C22" s="116"/>
      <c r="D22" s="116"/>
      <c r="E22" s="116"/>
      <c r="F22" s="117"/>
      <c r="G22" s="131"/>
      <c r="H22" s="123"/>
      <c r="I22" s="32"/>
      <c r="J22" s="123"/>
      <c r="K22" s="113"/>
      <c r="L22" s="123"/>
      <c r="M22" s="113"/>
      <c r="N22" s="123">
        <f>SUM(N13:N19)</f>
        <v>82071.229218749999</v>
      </c>
      <c r="O22" s="113">
        <f>SUM(O13:O17)</f>
        <v>359</v>
      </c>
      <c r="P22" s="123"/>
      <c r="Q22" s="113"/>
      <c r="R22" s="123">
        <f>SUM(R13:R19)</f>
        <v>138598.64578124997</v>
      </c>
      <c r="S22" s="113">
        <f>SUM(S13:S16)</f>
        <v>441</v>
      </c>
      <c r="T22" s="15">
        <f>S22+O22</f>
        <v>800</v>
      </c>
    </row>
    <row r="23" spans="1:20" ht="15" x14ac:dyDescent="0.25">
      <c r="A23" s="204" t="s">
        <v>282</v>
      </c>
      <c r="B23" s="197"/>
      <c r="C23" s="197"/>
      <c r="D23" s="197"/>
      <c r="E23" s="197"/>
      <c r="F23" s="197"/>
      <c r="G23" s="131"/>
      <c r="H23" s="123"/>
      <c r="I23" s="32"/>
      <c r="J23" s="123"/>
      <c r="K23" s="113"/>
      <c r="L23" s="123"/>
      <c r="M23" s="113"/>
      <c r="N23" s="123"/>
      <c r="O23" s="153">
        <f>O22/T22</f>
        <v>0.44874999999999998</v>
      </c>
      <c r="P23" s="123"/>
      <c r="Q23" s="113"/>
      <c r="R23" s="123"/>
      <c r="S23" s="153">
        <f>S22/T22</f>
        <v>0.55125000000000002</v>
      </c>
    </row>
    <row r="24" spans="1:20" ht="15" x14ac:dyDescent="0.25">
      <c r="A24" s="197"/>
      <c r="B24" s="197"/>
      <c r="C24" s="197"/>
      <c r="D24" s="197"/>
      <c r="E24" s="197"/>
      <c r="F24" s="197"/>
      <c r="G24" s="131"/>
      <c r="H24" s="123"/>
      <c r="I24" s="32"/>
      <c r="J24" s="123"/>
      <c r="K24" s="113"/>
      <c r="L24" s="123"/>
      <c r="M24" s="113"/>
      <c r="N24" s="123"/>
      <c r="O24" s="153"/>
      <c r="P24" s="123"/>
      <c r="Q24" s="113"/>
      <c r="R24" s="123"/>
      <c r="S24" s="153"/>
    </row>
    <row r="25" spans="1:20" ht="15" x14ac:dyDescent="0.25">
      <c r="A25" s="197"/>
      <c r="B25" s="197"/>
      <c r="C25" s="197"/>
      <c r="D25" s="197"/>
      <c r="E25" s="197"/>
      <c r="F25" s="197"/>
      <c r="G25" s="131"/>
      <c r="H25" s="123"/>
      <c r="I25" s="32"/>
      <c r="J25" s="123"/>
      <c r="K25" s="113"/>
      <c r="L25" s="123"/>
      <c r="M25" s="113"/>
      <c r="N25" s="123"/>
      <c r="O25" s="153"/>
      <c r="P25" s="123"/>
      <c r="Q25" s="113"/>
      <c r="R25" s="123"/>
      <c r="S25" s="153"/>
    </row>
    <row r="26" spans="1:20" ht="26.25" customHeight="1" x14ac:dyDescent="0.25">
      <c r="A26" s="197"/>
      <c r="B26" s="197"/>
      <c r="C26" s="197"/>
      <c r="D26" s="197"/>
      <c r="E26" s="197"/>
      <c r="F26" s="197"/>
      <c r="G26" s="131"/>
      <c r="H26" s="123"/>
      <c r="I26" s="32"/>
      <c r="J26" s="123"/>
      <c r="K26" s="113"/>
      <c r="L26" s="123"/>
      <c r="M26" s="113"/>
      <c r="N26" s="123"/>
      <c r="O26" s="113"/>
      <c r="P26" s="123"/>
      <c r="Q26" s="113"/>
      <c r="R26" s="123"/>
      <c r="S26" s="113"/>
    </row>
    <row r="27" spans="1:20" ht="15" x14ac:dyDescent="0.25">
      <c r="A27" s="32"/>
      <c r="B27" s="32"/>
      <c r="C27" s="116"/>
      <c r="D27" s="116"/>
      <c r="E27" s="116"/>
      <c r="F27" s="117"/>
      <c r="G27" s="131"/>
      <c r="H27" s="123"/>
      <c r="I27" s="32"/>
      <c r="J27" s="123"/>
      <c r="K27" s="113"/>
      <c r="L27" s="123"/>
      <c r="M27" s="113"/>
      <c r="N27" s="123"/>
      <c r="O27" s="113"/>
      <c r="P27" s="123"/>
      <c r="Q27" s="113"/>
      <c r="R27" s="123"/>
      <c r="S27" s="113"/>
    </row>
    <row r="28" spans="1:20" ht="15" x14ac:dyDescent="0.25">
      <c r="A28" s="120" t="s">
        <v>32</v>
      </c>
      <c r="B28" s="120"/>
      <c r="C28" s="121"/>
      <c r="D28" s="121"/>
      <c r="E28" s="121"/>
      <c r="F28" s="122"/>
      <c r="G28" s="132"/>
      <c r="H28" s="113"/>
      <c r="I28" s="32"/>
      <c r="J28" s="123"/>
      <c r="K28" s="113"/>
      <c r="L28" s="113"/>
      <c r="M28" s="113"/>
      <c r="N28" s="113"/>
      <c r="O28" s="113"/>
      <c r="P28" s="113"/>
      <c r="Q28" s="113"/>
      <c r="R28" s="113"/>
      <c r="S28" s="113"/>
    </row>
    <row r="29" spans="1:20" ht="15" x14ac:dyDescent="0.25">
      <c r="A29" s="32" t="s">
        <v>252</v>
      </c>
      <c r="B29" s="32" t="s">
        <v>159</v>
      </c>
      <c r="C29" s="124">
        <v>1</v>
      </c>
      <c r="D29" s="124">
        <v>0</v>
      </c>
      <c r="E29" s="124">
        <v>0</v>
      </c>
      <c r="F29" s="125">
        <v>47814</v>
      </c>
      <c r="G29" s="130">
        <v>2.5000000000000001E-2</v>
      </c>
      <c r="H29" s="126">
        <f>F29*1.025</f>
        <v>49009.35</v>
      </c>
      <c r="I29" s="32" t="s">
        <v>171</v>
      </c>
      <c r="J29" s="127"/>
      <c r="K29" s="113"/>
      <c r="L29" s="113">
        <f t="shared" ref="L29:L37" si="5">SUM(H29:J29)</f>
        <v>49009.35</v>
      </c>
      <c r="M29" s="113"/>
      <c r="N29" s="127">
        <f t="shared" ref="N29:N37" si="6">L29</f>
        <v>49009.35</v>
      </c>
      <c r="O29" s="128">
        <v>160</v>
      </c>
      <c r="P29" s="123">
        <v>0</v>
      </c>
      <c r="Q29" s="128"/>
      <c r="R29" s="128">
        <v>0</v>
      </c>
      <c r="S29" s="128"/>
      <c r="T29" s="98"/>
    </row>
    <row r="30" spans="1:20" ht="15" x14ac:dyDescent="0.2">
      <c r="A30" s="32" t="s">
        <v>253</v>
      </c>
      <c r="B30" s="32" t="s">
        <v>159</v>
      </c>
      <c r="C30" s="124">
        <v>1</v>
      </c>
      <c r="D30" s="124">
        <v>0</v>
      </c>
      <c r="E30" s="124">
        <v>0</v>
      </c>
      <c r="F30" s="125">
        <v>47814</v>
      </c>
      <c r="G30" s="130">
        <v>2.5000000000000001E-2</v>
      </c>
      <c r="H30" s="126">
        <f t="shared" ref="H30:H35" si="7">F30*1.025</f>
        <v>49009.35</v>
      </c>
      <c r="I30" s="32" t="s">
        <v>171</v>
      </c>
      <c r="J30" s="113"/>
      <c r="K30" s="113"/>
      <c r="L30" s="113">
        <f t="shared" si="5"/>
        <v>49009.35</v>
      </c>
      <c r="M30" s="113"/>
      <c r="N30" s="127">
        <f t="shared" si="6"/>
        <v>49009.35</v>
      </c>
      <c r="O30" s="113">
        <v>160</v>
      </c>
      <c r="P30" s="113">
        <v>0</v>
      </c>
      <c r="Q30" s="113"/>
      <c r="R30" s="113">
        <v>0</v>
      </c>
      <c r="S30" s="113"/>
    </row>
    <row r="31" spans="1:20" ht="15" x14ac:dyDescent="0.2">
      <c r="A31" s="32" t="s">
        <v>254</v>
      </c>
      <c r="B31" s="32" t="s">
        <v>159</v>
      </c>
      <c r="C31" s="124">
        <v>1</v>
      </c>
      <c r="D31" s="124">
        <v>0</v>
      </c>
      <c r="E31" s="124">
        <v>0</v>
      </c>
      <c r="F31" s="125">
        <v>51355</v>
      </c>
      <c r="G31" s="130">
        <v>2.5000000000000001E-2</v>
      </c>
      <c r="H31" s="126">
        <f t="shared" si="7"/>
        <v>52638.874999999993</v>
      </c>
      <c r="I31" s="32" t="s">
        <v>171</v>
      </c>
      <c r="J31" s="113"/>
      <c r="K31" s="113"/>
      <c r="L31" s="113">
        <f t="shared" si="5"/>
        <v>52638.874999999993</v>
      </c>
      <c r="M31" s="113"/>
      <c r="N31" s="127">
        <f t="shared" si="6"/>
        <v>52638.874999999993</v>
      </c>
      <c r="O31" s="113">
        <v>160</v>
      </c>
      <c r="P31" s="113">
        <v>0</v>
      </c>
      <c r="Q31" s="113"/>
      <c r="R31" s="113">
        <v>0</v>
      </c>
      <c r="S31" s="113"/>
    </row>
    <row r="32" spans="1:20" ht="15" x14ac:dyDescent="0.2">
      <c r="A32" s="32" t="s">
        <v>255</v>
      </c>
      <c r="B32" s="32" t="s">
        <v>159</v>
      </c>
      <c r="C32" s="124">
        <v>1</v>
      </c>
      <c r="D32" s="124">
        <v>0</v>
      </c>
      <c r="E32" s="124">
        <v>0</v>
      </c>
      <c r="F32" s="125">
        <v>51355</v>
      </c>
      <c r="G32" s="130">
        <v>2.5000000000000001E-2</v>
      </c>
      <c r="H32" s="126">
        <f t="shared" si="7"/>
        <v>52638.874999999993</v>
      </c>
      <c r="I32" s="32" t="s">
        <v>171</v>
      </c>
      <c r="J32" s="113"/>
      <c r="K32" s="113"/>
      <c r="L32" s="113">
        <f>SUM(H32:J32)</f>
        <v>52638.874999999993</v>
      </c>
      <c r="M32" s="113"/>
      <c r="N32" s="127">
        <f t="shared" si="6"/>
        <v>52638.874999999993</v>
      </c>
      <c r="O32" s="113">
        <v>160</v>
      </c>
      <c r="P32" s="113">
        <v>0</v>
      </c>
      <c r="Q32" s="113"/>
      <c r="R32" s="113">
        <v>0</v>
      </c>
      <c r="S32" s="113"/>
    </row>
    <row r="33" spans="1:20" ht="15" x14ac:dyDescent="0.2">
      <c r="A33" s="32" t="s">
        <v>256</v>
      </c>
      <c r="B33" s="32" t="s">
        <v>203</v>
      </c>
      <c r="C33" s="124">
        <v>1</v>
      </c>
      <c r="D33" s="124">
        <v>0</v>
      </c>
      <c r="E33" s="124">
        <v>0</v>
      </c>
      <c r="F33" s="125">
        <v>0</v>
      </c>
      <c r="G33" s="130"/>
      <c r="H33" s="126">
        <v>33000</v>
      </c>
      <c r="I33" s="32"/>
      <c r="J33" s="113"/>
      <c r="K33" s="113"/>
      <c r="L33" s="113">
        <f>SUM(H33:J33)</f>
        <v>33000</v>
      </c>
      <c r="M33" s="113"/>
      <c r="N33" s="127">
        <f t="shared" si="6"/>
        <v>33000</v>
      </c>
      <c r="O33" s="113">
        <v>160</v>
      </c>
      <c r="P33" s="113"/>
      <c r="Q33" s="113"/>
      <c r="R33" s="113"/>
      <c r="S33" s="113"/>
    </row>
    <row r="34" spans="1:20" ht="15" x14ac:dyDescent="0.2">
      <c r="A34" s="32" t="s">
        <v>257</v>
      </c>
      <c r="B34" s="32" t="s">
        <v>160</v>
      </c>
      <c r="C34" s="124">
        <v>1</v>
      </c>
      <c r="D34" s="124">
        <v>0</v>
      </c>
      <c r="E34" s="124">
        <v>0</v>
      </c>
      <c r="F34" s="125">
        <v>32386</v>
      </c>
      <c r="G34" s="130">
        <v>2.5000000000000001E-2</v>
      </c>
      <c r="H34" s="126">
        <f t="shared" si="7"/>
        <v>33195.649999999994</v>
      </c>
      <c r="I34" s="32" t="s">
        <v>171</v>
      </c>
      <c r="J34" s="113"/>
      <c r="K34" s="113"/>
      <c r="L34" s="113">
        <f t="shared" si="5"/>
        <v>33195.649999999994</v>
      </c>
      <c r="M34" s="113"/>
      <c r="N34" s="127">
        <f t="shared" si="6"/>
        <v>33195.649999999994</v>
      </c>
      <c r="O34" s="113">
        <v>160</v>
      </c>
      <c r="P34" s="113">
        <v>0</v>
      </c>
      <c r="Q34" s="113"/>
      <c r="R34" s="113">
        <v>0</v>
      </c>
      <c r="S34" s="113"/>
    </row>
    <row r="35" spans="1:20" ht="15" x14ac:dyDescent="0.2">
      <c r="A35" s="32"/>
      <c r="B35" s="32" t="s">
        <v>184</v>
      </c>
      <c r="C35" s="124">
        <v>1</v>
      </c>
      <c r="D35" s="124">
        <v>0</v>
      </c>
      <c r="E35" s="124">
        <v>0</v>
      </c>
      <c r="F35" s="125">
        <v>14152</v>
      </c>
      <c r="G35" s="130">
        <v>2.5000000000000001E-2</v>
      </c>
      <c r="H35" s="126">
        <f t="shared" si="7"/>
        <v>14505.8</v>
      </c>
      <c r="I35" s="32"/>
      <c r="J35" s="113"/>
      <c r="K35" s="113"/>
      <c r="L35" s="113">
        <f t="shared" si="5"/>
        <v>14505.8</v>
      </c>
      <c r="M35" s="113"/>
      <c r="N35" s="127">
        <f t="shared" si="6"/>
        <v>14505.8</v>
      </c>
      <c r="O35" s="113">
        <v>20</v>
      </c>
      <c r="P35" s="113"/>
      <c r="Q35" s="113"/>
      <c r="R35" s="113"/>
      <c r="S35" s="113"/>
    </row>
    <row r="36" spans="1:20" ht="15" x14ac:dyDescent="0.2">
      <c r="A36" s="32"/>
      <c r="B36" s="32" t="s">
        <v>184</v>
      </c>
      <c r="C36" s="124">
        <v>1</v>
      </c>
      <c r="D36" s="124">
        <v>0</v>
      </c>
      <c r="E36" s="124">
        <v>0</v>
      </c>
      <c r="F36" s="125"/>
      <c r="G36" s="130">
        <v>2.5000000000000001E-2</v>
      </c>
      <c r="H36" s="126">
        <f>F36*1.025</f>
        <v>0</v>
      </c>
      <c r="I36" s="32"/>
      <c r="J36" s="113"/>
      <c r="K36" s="113"/>
      <c r="L36" s="113">
        <f>SUM(H36:J36)</f>
        <v>0</v>
      </c>
      <c r="M36" s="113"/>
      <c r="N36" s="127">
        <f t="shared" si="6"/>
        <v>0</v>
      </c>
      <c r="O36" s="113"/>
      <c r="P36" s="113"/>
      <c r="Q36" s="113"/>
      <c r="R36" s="113"/>
      <c r="S36" s="113"/>
    </row>
    <row r="37" spans="1:20" ht="15" x14ac:dyDescent="0.2">
      <c r="A37" s="32"/>
      <c r="B37" s="32" t="s">
        <v>186</v>
      </c>
      <c r="C37" s="124"/>
      <c r="D37" s="124"/>
      <c r="E37" s="124"/>
      <c r="F37" s="125"/>
      <c r="G37" s="130"/>
      <c r="H37" s="126">
        <v>0</v>
      </c>
      <c r="I37" s="32"/>
      <c r="J37" s="113">
        <v>100000</v>
      </c>
      <c r="K37" s="113"/>
      <c r="L37" s="113">
        <f t="shared" si="5"/>
        <v>100000</v>
      </c>
      <c r="M37" s="113"/>
      <c r="N37" s="127">
        <f t="shared" si="6"/>
        <v>100000</v>
      </c>
      <c r="O37" s="113"/>
      <c r="P37" s="113"/>
      <c r="Q37" s="113"/>
      <c r="R37" s="113"/>
      <c r="S37" s="113"/>
    </row>
    <row r="38" spans="1:20" ht="15" x14ac:dyDescent="0.25">
      <c r="A38" s="32"/>
      <c r="B38" s="32"/>
      <c r="C38" s="124"/>
      <c r="D38" s="124"/>
      <c r="E38" s="124"/>
      <c r="F38" s="112"/>
      <c r="G38" s="112"/>
      <c r="H38" s="118">
        <f>SUM(H29:H36)</f>
        <v>283997.89999999997</v>
      </c>
      <c r="I38" s="32"/>
      <c r="J38" s="119">
        <f>SUM(J29:J37)</f>
        <v>100000</v>
      </c>
      <c r="K38" s="113"/>
      <c r="L38" s="119">
        <f>SUM(L29:L37)</f>
        <v>383997.89999999997</v>
      </c>
      <c r="M38" s="113"/>
      <c r="N38" s="118">
        <f>SUM(N29:N37)</f>
        <v>383997.89999999997</v>
      </c>
      <c r="O38" s="166"/>
      <c r="P38" s="118">
        <f>SUM(P29:P34)</f>
        <v>0</v>
      </c>
      <c r="Q38" s="113"/>
      <c r="R38" s="129">
        <v>0</v>
      </c>
      <c r="S38" s="166"/>
    </row>
    <row r="39" spans="1:20" ht="14.25" x14ac:dyDescent="0.2">
      <c r="A39" s="32"/>
      <c r="B39" s="32"/>
      <c r="C39" s="32"/>
      <c r="D39" s="32"/>
      <c r="E39" s="32"/>
      <c r="F39" s="112"/>
      <c r="G39" s="112"/>
      <c r="H39" s="113"/>
      <c r="I39" s="32"/>
      <c r="J39" s="127"/>
      <c r="K39" s="113"/>
      <c r="L39" s="127"/>
      <c r="M39" s="113"/>
      <c r="N39" s="113"/>
      <c r="O39" s="113"/>
      <c r="P39" s="113"/>
      <c r="Q39" s="113"/>
      <c r="R39" s="113"/>
      <c r="S39" s="113"/>
    </row>
    <row r="40" spans="1:20" ht="15" x14ac:dyDescent="0.25">
      <c r="A40" s="32"/>
      <c r="B40" s="32"/>
      <c r="C40" s="32"/>
      <c r="D40" s="32"/>
      <c r="E40" s="32"/>
      <c r="F40" s="32"/>
      <c r="G40" s="32"/>
      <c r="H40" s="32"/>
      <c r="I40" s="32"/>
      <c r="J40" s="123"/>
      <c r="K40" s="113"/>
      <c r="L40" s="123"/>
      <c r="M40" s="128"/>
      <c r="N40" s="123"/>
      <c r="O40" s="128"/>
      <c r="P40" s="123"/>
      <c r="Q40" s="123"/>
      <c r="R40" s="128"/>
      <c r="S40" s="128"/>
    </row>
    <row r="41" spans="1:20" ht="15" x14ac:dyDescent="0.25">
      <c r="A41" s="114" t="s">
        <v>43</v>
      </c>
      <c r="B41" s="114"/>
      <c r="C41" s="32"/>
      <c r="D41" s="32"/>
      <c r="E41" s="32"/>
      <c r="F41" s="32"/>
      <c r="G41" s="32"/>
      <c r="H41" s="128">
        <f>H20+H38</f>
        <v>639897.39999999991</v>
      </c>
      <c r="I41" s="128"/>
      <c r="J41" s="128">
        <f>J20+J38</f>
        <v>115000</v>
      </c>
      <c r="K41" s="113"/>
      <c r="L41" s="128">
        <f>L20+L38</f>
        <v>768897.39999999991</v>
      </c>
      <c r="M41" s="113"/>
      <c r="N41" s="128">
        <f>N20+N38</f>
        <v>579329.93956357753</v>
      </c>
      <c r="O41" s="128">
        <f>SUM(O29:O35)</f>
        <v>980</v>
      </c>
      <c r="P41" s="128">
        <f>P20+P38</f>
        <v>0</v>
      </c>
      <c r="Q41" s="128">
        <f>Q20+Q38</f>
        <v>0</v>
      </c>
      <c r="R41" s="128">
        <f>R20+R38</f>
        <v>189567.46043642241</v>
      </c>
      <c r="S41" s="128">
        <f>S22</f>
        <v>441</v>
      </c>
      <c r="T41" s="15">
        <f>O41+S41</f>
        <v>1421</v>
      </c>
    </row>
    <row r="42" spans="1:20" ht="15" x14ac:dyDescent="0.25">
      <c r="A42" s="32"/>
      <c r="B42" s="164" t="s">
        <v>237</v>
      </c>
      <c r="C42" s="32"/>
      <c r="D42" s="32"/>
      <c r="E42" s="32"/>
      <c r="F42" s="32"/>
      <c r="G42" s="32"/>
      <c r="H42" s="32"/>
      <c r="I42" s="32"/>
      <c r="J42" s="32"/>
      <c r="K42" s="32"/>
      <c r="L42" s="32"/>
      <c r="M42" s="32"/>
      <c r="N42" s="113"/>
      <c r="O42" s="163">
        <f>O41/T41</f>
        <v>0.68965517241379315</v>
      </c>
      <c r="P42" s="32"/>
      <c r="Q42" s="32"/>
      <c r="R42" s="32"/>
      <c r="S42" s="163">
        <f>S41/T41</f>
        <v>0.31034482758620691</v>
      </c>
    </row>
    <row r="43" spans="1:20" ht="15" x14ac:dyDescent="0.25">
      <c r="A43" s="32"/>
      <c r="B43" s="32"/>
      <c r="C43" s="32"/>
      <c r="D43" s="32"/>
      <c r="E43" s="32"/>
      <c r="F43" s="32"/>
      <c r="G43" s="32"/>
      <c r="H43" s="32"/>
      <c r="I43" s="32"/>
      <c r="J43" s="128"/>
      <c r="K43" s="128">
        <f>K29+K40</f>
        <v>0</v>
      </c>
      <c r="L43" s="128"/>
      <c r="M43" s="128"/>
      <c r="N43" s="128"/>
      <c r="O43" s="154"/>
      <c r="P43" s="128"/>
      <c r="Q43" s="128"/>
      <c r="R43" s="128"/>
      <c r="S43" s="128"/>
    </row>
    <row r="44" spans="1:20" ht="14.25" x14ac:dyDescent="0.2">
      <c r="A44" s="32"/>
      <c r="B44" s="32"/>
      <c r="C44" s="32"/>
      <c r="D44" s="32"/>
      <c r="E44" s="32"/>
      <c r="F44" s="32"/>
      <c r="G44" s="32"/>
      <c r="H44" s="32"/>
      <c r="I44" s="32"/>
      <c r="J44" s="32"/>
      <c r="K44" s="32"/>
      <c r="L44" s="32"/>
      <c r="M44" s="32"/>
      <c r="N44" s="32"/>
      <c r="O44" s="32"/>
      <c r="P44" s="32"/>
      <c r="Q44" s="32"/>
      <c r="R44" s="32"/>
      <c r="S44" s="32"/>
    </row>
    <row r="45" spans="1:20" ht="15" x14ac:dyDescent="0.25">
      <c r="A45" s="114"/>
      <c r="B45" s="32"/>
      <c r="C45" s="198" t="s">
        <v>215</v>
      </c>
      <c r="D45" s="199"/>
      <c r="E45" s="32"/>
      <c r="F45" s="32"/>
      <c r="G45" s="32"/>
      <c r="H45" s="32"/>
      <c r="I45" s="32"/>
      <c r="J45" s="32"/>
      <c r="K45" s="32"/>
      <c r="L45" s="32"/>
      <c r="M45" s="32"/>
      <c r="N45" s="32"/>
      <c r="O45" s="32"/>
      <c r="P45" s="32"/>
      <c r="Q45" s="32"/>
      <c r="R45" s="32"/>
      <c r="S45" s="32"/>
    </row>
    <row r="46" spans="1:20" x14ac:dyDescent="0.2">
      <c r="A46" s="103"/>
      <c r="B46" s="103"/>
      <c r="C46" s="147" t="s">
        <v>216</v>
      </c>
      <c r="D46" s="148" t="s">
        <v>63</v>
      </c>
      <c r="E46" s="103"/>
      <c r="F46" s="103"/>
      <c r="G46" s="103"/>
      <c r="H46" s="103"/>
      <c r="I46" s="103"/>
      <c r="J46" s="103"/>
      <c r="K46" s="103"/>
      <c r="L46" s="103"/>
      <c r="M46" s="103"/>
      <c r="N46" s="103"/>
      <c r="O46" s="103"/>
      <c r="P46" s="103"/>
      <c r="Q46" s="103"/>
      <c r="R46" s="103"/>
      <c r="S46" s="103"/>
    </row>
    <row r="47" spans="1:20" x14ac:dyDescent="0.2">
      <c r="A47" s="165" t="s">
        <v>279</v>
      </c>
      <c r="B47" s="103"/>
      <c r="C47" s="103"/>
      <c r="D47" s="103"/>
      <c r="E47" s="103"/>
      <c r="F47" s="196" t="s">
        <v>280</v>
      </c>
      <c r="G47" s="197"/>
      <c r="H47" s="197"/>
      <c r="I47" s="197"/>
      <c r="J47" s="197"/>
      <c r="K47" s="197"/>
      <c r="L47" s="197"/>
      <c r="M47" s="103"/>
      <c r="N47" s="103"/>
      <c r="O47" s="103"/>
      <c r="P47" s="103"/>
      <c r="Q47" s="103"/>
      <c r="R47" s="103"/>
      <c r="S47" s="103"/>
    </row>
    <row r="48" spans="1:20" x14ac:dyDescent="0.2">
      <c r="A48" s="98" t="s">
        <v>210</v>
      </c>
      <c r="B48" s="98"/>
      <c r="C48" s="98">
        <v>60</v>
      </c>
      <c r="D48" s="98"/>
      <c r="E48" s="98"/>
      <c r="F48" s="197"/>
      <c r="G48" s="197"/>
      <c r="H48" s="197"/>
      <c r="I48" s="197"/>
      <c r="J48" s="197"/>
      <c r="K48" s="197"/>
      <c r="L48" s="197"/>
      <c r="M48" s="103"/>
      <c r="N48" s="103"/>
      <c r="O48" s="103"/>
      <c r="P48" s="103"/>
      <c r="Q48" s="103"/>
      <c r="R48" s="103"/>
      <c r="S48" s="103"/>
    </row>
    <row r="49" spans="1:19" x14ac:dyDescent="0.2">
      <c r="A49" s="98" t="s">
        <v>211</v>
      </c>
      <c r="B49" s="98"/>
      <c r="C49" s="98">
        <v>2</v>
      </c>
      <c r="D49" s="98"/>
      <c r="E49" s="98"/>
      <c r="F49" s="197"/>
      <c r="G49" s="197"/>
      <c r="H49" s="197"/>
      <c r="I49" s="197"/>
      <c r="J49" s="197"/>
      <c r="K49" s="197"/>
      <c r="L49" s="197"/>
      <c r="M49" s="103"/>
      <c r="N49" s="103"/>
      <c r="O49" s="103"/>
      <c r="P49" s="103"/>
      <c r="Q49" s="103"/>
      <c r="R49" s="103"/>
      <c r="S49" s="103"/>
    </row>
    <row r="50" spans="1:19" x14ac:dyDescent="0.2">
      <c r="A50" s="98" t="s">
        <v>212</v>
      </c>
      <c r="B50" s="98"/>
      <c r="C50" s="98">
        <v>24</v>
      </c>
      <c r="D50" s="98"/>
      <c r="E50" s="98"/>
      <c r="F50" s="197"/>
      <c r="G50" s="197"/>
      <c r="H50" s="197"/>
      <c r="I50" s="197"/>
      <c r="J50" s="197"/>
      <c r="K50" s="197"/>
      <c r="L50" s="197"/>
    </row>
    <row r="51" spans="1:19" x14ac:dyDescent="0.2">
      <c r="A51" s="98" t="s">
        <v>213</v>
      </c>
      <c r="B51" s="98"/>
      <c r="C51" s="98">
        <v>12</v>
      </c>
      <c r="D51" s="98"/>
      <c r="E51" s="98"/>
      <c r="F51" s="197"/>
      <c r="G51" s="197"/>
      <c r="H51" s="197"/>
      <c r="I51" s="197"/>
      <c r="J51" s="197"/>
      <c r="K51" s="197"/>
      <c r="L51" s="197"/>
    </row>
    <row r="52" spans="1:19" x14ac:dyDescent="0.2">
      <c r="A52" s="98" t="s">
        <v>214</v>
      </c>
      <c r="B52" s="98"/>
      <c r="C52" s="98">
        <v>4</v>
      </c>
      <c r="D52" s="98"/>
      <c r="E52" s="98"/>
      <c r="F52" s="197"/>
      <c r="G52" s="197"/>
      <c r="H52" s="197"/>
      <c r="I52" s="197"/>
      <c r="J52" s="197"/>
      <c r="K52" s="197"/>
      <c r="L52" s="197"/>
    </row>
    <row r="53" spans="1:19" x14ac:dyDescent="0.2">
      <c r="A53" s="98" t="s">
        <v>217</v>
      </c>
      <c r="B53" s="98"/>
      <c r="C53" s="98"/>
      <c r="D53" s="98">
        <v>10</v>
      </c>
      <c r="E53" s="98"/>
      <c r="F53" s="197"/>
      <c r="G53" s="197"/>
      <c r="H53" s="197"/>
      <c r="I53" s="197"/>
      <c r="J53" s="197"/>
      <c r="K53" s="197"/>
      <c r="L53" s="197"/>
    </row>
    <row r="54" spans="1:19" x14ac:dyDescent="0.2">
      <c r="A54" s="98" t="s">
        <v>218</v>
      </c>
      <c r="B54" s="98"/>
      <c r="C54" s="98"/>
      <c r="D54" s="98">
        <v>30</v>
      </c>
      <c r="E54" s="98"/>
      <c r="F54" s="197"/>
      <c r="G54" s="197"/>
      <c r="H54" s="197"/>
      <c r="I54" s="197"/>
      <c r="J54" s="197"/>
      <c r="K54" s="197"/>
      <c r="L54" s="197"/>
    </row>
    <row r="55" spans="1:19" x14ac:dyDescent="0.2">
      <c r="A55" s="98" t="s">
        <v>219</v>
      </c>
      <c r="B55" s="98"/>
      <c r="C55" s="98"/>
      <c r="D55" s="98">
        <v>12</v>
      </c>
      <c r="E55" s="98"/>
      <c r="F55" s="197"/>
      <c r="G55" s="197"/>
      <c r="H55" s="197"/>
      <c r="I55" s="197"/>
      <c r="J55" s="197"/>
      <c r="K55" s="197"/>
      <c r="L55" s="197"/>
    </row>
    <row r="56" spans="1:19" x14ac:dyDescent="0.2">
      <c r="A56" s="98" t="s">
        <v>220</v>
      </c>
      <c r="B56" s="98"/>
      <c r="C56" s="98">
        <v>1</v>
      </c>
      <c r="D56" s="98">
        <v>1</v>
      </c>
      <c r="E56" s="98"/>
      <c r="F56" s="197"/>
      <c r="G56" s="197"/>
      <c r="H56" s="197"/>
      <c r="I56" s="197"/>
      <c r="J56" s="197"/>
      <c r="K56" s="197"/>
      <c r="L56" s="197"/>
    </row>
    <row r="57" spans="1:19" ht="28.5" customHeight="1" x14ac:dyDescent="0.2">
      <c r="A57" s="98" t="s">
        <v>221</v>
      </c>
      <c r="B57" s="98"/>
      <c r="C57" s="149">
        <v>2</v>
      </c>
      <c r="D57" s="149">
        <v>2</v>
      </c>
      <c r="E57" s="98"/>
      <c r="F57" s="197"/>
      <c r="G57" s="197"/>
      <c r="H57" s="197"/>
      <c r="I57" s="197"/>
      <c r="J57" s="197"/>
      <c r="K57" s="197"/>
      <c r="L57" s="197"/>
    </row>
    <row r="58" spans="1:19" x14ac:dyDescent="0.2">
      <c r="A58" s="98"/>
      <c r="B58" s="98"/>
      <c r="C58" s="98">
        <f>SUM(C48:C57)</f>
        <v>105</v>
      </c>
      <c r="D58" s="98">
        <f>SUM(D53:D57)</f>
        <v>55</v>
      </c>
      <c r="E58" s="98">
        <f>C58+D58</f>
        <v>160</v>
      </c>
    </row>
    <row r="59" spans="1:19" x14ac:dyDescent="0.2">
      <c r="A59" s="98"/>
      <c r="B59" s="98"/>
      <c r="C59" s="150">
        <f>C58/E58</f>
        <v>0.65625</v>
      </c>
      <c r="D59" s="150">
        <f>D58/E58</f>
        <v>0.34375</v>
      </c>
      <c r="E59" s="98"/>
    </row>
    <row r="61" spans="1:19" x14ac:dyDescent="0.2">
      <c r="A61" s="165" t="s">
        <v>151</v>
      </c>
    </row>
    <row r="62" spans="1:19" ht="23.25" customHeight="1" x14ac:dyDescent="0.2">
      <c r="A62" t="s">
        <v>222</v>
      </c>
      <c r="B62" s="185" t="s">
        <v>243</v>
      </c>
      <c r="C62">
        <v>10</v>
      </c>
      <c r="D62">
        <v>4</v>
      </c>
      <c r="F62" s="197" t="s">
        <v>281</v>
      </c>
      <c r="G62" s="197"/>
      <c r="H62" s="197"/>
      <c r="I62" s="197"/>
      <c r="J62" s="197"/>
      <c r="K62" s="197"/>
      <c r="L62" s="197"/>
    </row>
    <row r="63" spans="1:19" x14ac:dyDescent="0.2">
      <c r="A63" t="s">
        <v>223</v>
      </c>
      <c r="C63">
        <v>4</v>
      </c>
      <c r="D63">
        <v>4</v>
      </c>
      <c r="F63" s="197"/>
      <c r="G63" s="197"/>
      <c r="H63" s="197"/>
      <c r="I63" s="197"/>
      <c r="J63" s="197"/>
      <c r="K63" s="197"/>
      <c r="L63" s="197"/>
    </row>
    <row r="64" spans="1:19" x14ac:dyDescent="0.2">
      <c r="A64" t="s">
        <v>224</v>
      </c>
      <c r="C64">
        <v>4</v>
      </c>
      <c r="D64">
        <v>8</v>
      </c>
      <c r="F64" s="197"/>
      <c r="G64" s="197"/>
      <c r="H64" s="197"/>
      <c r="I64" s="197"/>
      <c r="J64" s="197"/>
      <c r="K64" s="197"/>
      <c r="L64" s="197"/>
    </row>
    <row r="65" spans="1:12" x14ac:dyDescent="0.2">
      <c r="A65" t="s">
        <v>225</v>
      </c>
      <c r="C65">
        <v>2</v>
      </c>
      <c r="D65">
        <v>2</v>
      </c>
      <c r="F65" s="197"/>
      <c r="G65" s="197"/>
      <c r="H65" s="197"/>
      <c r="I65" s="197"/>
      <c r="J65" s="197"/>
      <c r="K65" s="197"/>
      <c r="L65" s="197"/>
    </row>
    <row r="66" spans="1:12" x14ac:dyDescent="0.2">
      <c r="A66" t="s">
        <v>226</v>
      </c>
      <c r="C66">
        <v>24</v>
      </c>
      <c r="F66" s="197"/>
      <c r="G66" s="197"/>
      <c r="H66" s="197"/>
      <c r="I66" s="197"/>
      <c r="J66" s="197"/>
      <c r="K66" s="197"/>
      <c r="L66" s="197"/>
    </row>
    <row r="67" spans="1:12" x14ac:dyDescent="0.2">
      <c r="A67" t="s">
        <v>227</v>
      </c>
      <c r="C67">
        <v>4</v>
      </c>
      <c r="F67" s="197"/>
      <c r="G67" s="197"/>
      <c r="H67" s="197"/>
      <c r="I67" s="197"/>
      <c r="J67" s="197"/>
      <c r="K67" s="197"/>
      <c r="L67" s="197"/>
    </row>
    <row r="68" spans="1:12" x14ac:dyDescent="0.2">
      <c r="A68" t="s">
        <v>228</v>
      </c>
      <c r="C68">
        <v>30</v>
      </c>
      <c r="F68" s="197"/>
      <c r="G68" s="197"/>
      <c r="H68" s="197"/>
      <c r="I68" s="197"/>
      <c r="J68" s="197"/>
      <c r="K68" s="197"/>
      <c r="L68" s="197"/>
    </row>
    <row r="69" spans="1:12" x14ac:dyDescent="0.2">
      <c r="A69" t="s">
        <v>230</v>
      </c>
      <c r="C69">
        <v>8</v>
      </c>
      <c r="D69">
        <v>32</v>
      </c>
      <c r="F69" s="197"/>
      <c r="G69" s="197"/>
      <c r="H69" s="197"/>
      <c r="I69" s="197"/>
      <c r="J69" s="197"/>
      <c r="K69" s="197"/>
      <c r="L69" s="197"/>
    </row>
    <row r="70" spans="1:12" x14ac:dyDescent="0.2">
      <c r="A70" t="s">
        <v>229</v>
      </c>
      <c r="C70" s="151">
        <v>8</v>
      </c>
      <c r="D70" s="151">
        <v>16</v>
      </c>
      <c r="F70" s="197"/>
      <c r="G70" s="197"/>
      <c r="H70" s="197"/>
      <c r="I70" s="197"/>
      <c r="J70" s="197"/>
      <c r="K70" s="197"/>
      <c r="L70" s="197"/>
    </row>
    <row r="71" spans="1:12" x14ac:dyDescent="0.2">
      <c r="C71">
        <f>SUM(C62:C70)</f>
        <v>94</v>
      </c>
      <c r="D71">
        <f>SUM(D62:D70)</f>
        <v>66</v>
      </c>
      <c r="E71">
        <f>C71+D71</f>
        <v>160</v>
      </c>
      <c r="F71" s="197"/>
      <c r="G71" s="197"/>
      <c r="H71" s="197"/>
      <c r="I71" s="197"/>
      <c r="J71" s="197"/>
      <c r="K71" s="197"/>
      <c r="L71" s="197"/>
    </row>
    <row r="72" spans="1:12" x14ac:dyDescent="0.2">
      <c r="C72" s="152">
        <f>C71/E71</f>
        <v>0.58750000000000002</v>
      </c>
      <c r="D72" s="152">
        <f>D71/E71</f>
        <v>0.41249999999999998</v>
      </c>
    </row>
  </sheetData>
  <mergeCells count="9">
    <mergeCell ref="F47:L57"/>
    <mergeCell ref="F62:L71"/>
    <mergeCell ref="C45:D45"/>
    <mergeCell ref="H6:L6"/>
    <mergeCell ref="A1:I1"/>
    <mergeCell ref="A2:I2"/>
    <mergeCell ref="A3:I3"/>
    <mergeCell ref="A4:I4"/>
    <mergeCell ref="A23:F26"/>
  </mergeCells>
  <phoneticPr fontId="6" type="noConversion"/>
  <pageMargins left="0.05" right="0.05" top="0.25" bottom="0.25" header="0.5" footer="0.5"/>
  <pageSetup paperSize="5"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6"/>
  <sheetViews>
    <sheetView topLeftCell="A28" zoomScale="90" zoomScaleNormal="90" zoomScalePageLayoutView="125" workbookViewId="0">
      <selection activeCell="B19" sqref="B19"/>
    </sheetView>
  </sheetViews>
  <sheetFormatPr defaultColWidth="8.7109375" defaultRowHeight="12.75" x14ac:dyDescent="0.2"/>
  <cols>
    <col min="1" max="1" width="28.140625" customWidth="1"/>
    <col min="2" max="2" width="41.5703125" customWidth="1"/>
    <col min="3" max="3" width="6.85546875" customWidth="1"/>
    <col min="4" max="4" width="6" customWidth="1"/>
    <col min="5" max="5" width="11.42578125" customWidth="1"/>
    <col min="6" max="6" width="3.85546875" customWidth="1"/>
    <col min="7" max="7" width="12.28515625" customWidth="1"/>
    <col min="8" max="8" width="11.140625" customWidth="1"/>
    <col min="9" max="9" width="11.5703125" customWidth="1"/>
    <col min="10" max="10" width="13.7109375" customWidth="1"/>
    <col min="11" max="11" width="9.42578125" bestFit="1" customWidth="1"/>
    <col min="12" max="12" width="3" customWidth="1"/>
    <col min="13" max="13" width="6.42578125" customWidth="1"/>
    <col min="14" max="14" width="8.85546875" customWidth="1"/>
    <col min="15" max="15" width="11.5703125" customWidth="1"/>
    <col min="16" max="16" width="14.140625" customWidth="1"/>
    <col min="17" max="17" width="1.28515625" customWidth="1"/>
    <col min="18" max="18" width="14.7109375" customWidth="1"/>
    <col min="19" max="19" width="1.42578125" customWidth="1"/>
  </cols>
  <sheetData>
    <row r="1" spans="1:20" x14ac:dyDescent="0.2">
      <c r="A1" s="194" t="s">
        <v>258</v>
      </c>
      <c r="B1" s="194"/>
      <c r="C1" s="194"/>
      <c r="D1" s="194"/>
      <c r="E1" s="194"/>
      <c r="F1" s="43"/>
      <c r="G1" s="33"/>
      <c r="H1" s="33"/>
      <c r="I1" s="33"/>
      <c r="J1" s="33"/>
      <c r="K1" s="33"/>
      <c r="L1" s="33"/>
      <c r="M1" s="33"/>
      <c r="N1" s="33"/>
      <c r="O1" s="33"/>
      <c r="P1" s="33"/>
      <c r="Q1" s="33"/>
      <c r="R1" s="33"/>
    </row>
    <row r="2" spans="1:20" x14ac:dyDescent="0.2">
      <c r="A2" s="194" t="s">
        <v>35</v>
      </c>
      <c r="B2" s="194"/>
      <c r="C2" s="194"/>
      <c r="D2" s="194"/>
      <c r="E2" s="194"/>
      <c r="F2" s="43"/>
      <c r="G2" s="33"/>
      <c r="H2" s="33"/>
      <c r="I2" s="33"/>
      <c r="J2" s="33"/>
      <c r="K2" s="33"/>
      <c r="L2" s="33"/>
      <c r="M2" s="33"/>
      <c r="N2" s="33"/>
      <c r="O2" s="33"/>
      <c r="P2" s="33"/>
      <c r="Q2" s="33"/>
      <c r="R2" s="33"/>
    </row>
    <row r="3" spans="1:20" x14ac:dyDescent="0.2">
      <c r="A3" s="194" t="s">
        <v>23</v>
      </c>
      <c r="B3" s="194"/>
      <c r="C3" s="194"/>
      <c r="D3" s="194"/>
      <c r="E3" s="194"/>
      <c r="F3" s="43"/>
      <c r="G3" s="42"/>
      <c r="H3" s="33"/>
      <c r="I3" s="33"/>
      <c r="J3" s="33"/>
      <c r="K3" s="33"/>
      <c r="L3" s="33"/>
      <c r="M3" s="33"/>
      <c r="N3" s="33"/>
      <c r="O3" s="33"/>
      <c r="P3" s="33"/>
      <c r="Q3" s="33"/>
      <c r="R3" s="33"/>
    </row>
    <row r="4" spans="1:20" x14ac:dyDescent="0.2">
      <c r="A4" s="194" t="s">
        <v>182</v>
      </c>
      <c r="B4" s="194"/>
      <c r="C4" s="194"/>
      <c r="D4" s="194"/>
      <c r="E4" s="194"/>
      <c r="F4" s="47"/>
      <c r="G4" s="47"/>
      <c r="H4" s="33"/>
      <c r="I4" s="33"/>
      <c r="J4" s="33"/>
      <c r="K4" s="33"/>
      <c r="L4" s="33"/>
      <c r="M4" s="33"/>
      <c r="N4" s="33"/>
      <c r="O4" s="33"/>
      <c r="P4" s="33"/>
      <c r="Q4" s="33"/>
      <c r="R4" s="33"/>
    </row>
    <row r="5" spans="1:20" x14ac:dyDescent="0.2">
      <c r="A5" s="33"/>
      <c r="B5" s="33"/>
      <c r="C5" s="33"/>
      <c r="D5" s="33"/>
      <c r="E5" s="33"/>
      <c r="F5" s="44"/>
      <c r="G5" s="44"/>
      <c r="H5" s="85"/>
      <c r="I5" s="33"/>
      <c r="J5" s="33"/>
      <c r="K5" s="33"/>
      <c r="L5" s="33"/>
      <c r="M5" s="33"/>
      <c r="N5" s="33"/>
      <c r="O5" s="33"/>
      <c r="P5" s="33"/>
      <c r="Q5" s="33"/>
      <c r="R5" s="33"/>
    </row>
    <row r="6" spans="1:20" x14ac:dyDescent="0.2">
      <c r="A6" s="33"/>
      <c r="B6" s="33"/>
      <c r="C6" s="33"/>
      <c r="D6" s="33"/>
      <c r="E6" s="33"/>
      <c r="F6" s="33"/>
      <c r="G6" s="33"/>
      <c r="H6" s="100" t="s">
        <v>135</v>
      </c>
      <c r="I6" s="42" t="s">
        <v>187</v>
      </c>
      <c r="J6" s="33"/>
      <c r="K6" s="33"/>
      <c r="L6" s="33"/>
      <c r="M6" s="33"/>
      <c r="N6" s="33"/>
      <c r="O6" s="33"/>
      <c r="P6" s="33"/>
      <c r="Q6" s="33"/>
      <c r="R6" s="33"/>
    </row>
    <row r="7" spans="1:20" x14ac:dyDescent="0.2">
      <c r="A7" s="33"/>
      <c r="B7" s="33"/>
      <c r="C7" s="33"/>
      <c r="D7" s="33"/>
      <c r="E7" s="33"/>
      <c r="F7" s="33"/>
      <c r="G7" s="42"/>
      <c r="H7" s="67">
        <v>0.20300000000000001</v>
      </c>
      <c r="I7" s="42" t="s">
        <v>190</v>
      </c>
      <c r="J7" s="42" t="s">
        <v>191</v>
      </c>
      <c r="K7" s="33"/>
      <c r="L7" s="33"/>
      <c r="M7" s="33"/>
      <c r="N7" s="33"/>
      <c r="O7" s="33"/>
      <c r="P7" s="33"/>
      <c r="Q7" s="33"/>
      <c r="R7" s="66"/>
      <c r="S7" s="26"/>
    </row>
    <row r="8" spans="1:20" x14ac:dyDescent="0.2">
      <c r="A8" s="33"/>
      <c r="B8" s="33"/>
      <c r="C8" s="33"/>
      <c r="D8" s="33"/>
      <c r="E8" s="33"/>
      <c r="F8" s="33"/>
      <c r="G8" s="47" t="s">
        <v>36</v>
      </c>
      <c r="H8" s="100" t="s">
        <v>165</v>
      </c>
      <c r="I8" s="42" t="s">
        <v>188</v>
      </c>
      <c r="J8" s="42" t="s">
        <v>169</v>
      </c>
      <c r="K8" s="33"/>
      <c r="L8" s="33"/>
      <c r="M8" s="33"/>
      <c r="N8" s="33"/>
      <c r="O8" s="33"/>
      <c r="P8" s="66"/>
      <c r="Q8" s="33"/>
      <c r="R8" s="67" t="s">
        <v>51</v>
      </c>
      <c r="S8" s="26"/>
    </row>
    <row r="9" spans="1:20" x14ac:dyDescent="0.2">
      <c r="A9" s="33"/>
      <c r="B9" s="33"/>
      <c r="C9" s="43" t="s">
        <v>70</v>
      </c>
      <c r="D9" s="42"/>
      <c r="E9" s="43" t="s">
        <v>72</v>
      </c>
      <c r="F9" s="47"/>
      <c r="G9" s="42" t="s">
        <v>128</v>
      </c>
      <c r="H9" s="97" t="s">
        <v>168</v>
      </c>
      <c r="I9" s="42" t="s">
        <v>192</v>
      </c>
      <c r="J9" s="43" t="s">
        <v>101</v>
      </c>
      <c r="K9" s="33"/>
      <c r="L9" s="205" t="s">
        <v>62</v>
      </c>
      <c r="M9" s="205"/>
      <c r="N9" s="205"/>
      <c r="O9" s="205"/>
      <c r="P9" s="66" t="s">
        <v>97</v>
      </c>
      <c r="Q9" s="43"/>
      <c r="R9" s="67" t="s">
        <v>94</v>
      </c>
      <c r="S9" s="19"/>
    </row>
    <row r="10" spans="1:20" ht="14.25" x14ac:dyDescent="0.2">
      <c r="A10" s="48" t="s">
        <v>67</v>
      </c>
      <c r="B10" s="48" t="s">
        <v>68</v>
      </c>
      <c r="C10" s="48" t="s">
        <v>71</v>
      </c>
      <c r="D10" s="48" t="s">
        <v>69</v>
      </c>
      <c r="E10" s="48" t="s">
        <v>73</v>
      </c>
      <c r="F10" s="33"/>
      <c r="G10" s="48" t="s">
        <v>129</v>
      </c>
      <c r="H10" s="48" t="s">
        <v>37</v>
      </c>
      <c r="I10" s="48" t="s">
        <v>38</v>
      </c>
      <c r="J10" s="48" t="s">
        <v>102</v>
      </c>
      <c r="K10" s="48" t="s">
        <v>42</v>
      </c>
      <c r="L10" s="44"/>
      <c r="M10" s="48" t="s">
        <v>103</v>
      </c>
      <c r="N10" s="48" t="s">
        <v>63</v>
      </c>
      <c r="O10" s="135" t="s">
        <v>154</v>
      </c>
      <c r="P10" s="50" t="s">
        <v>98</v>
      </c>
      <c r="Q10" s="43"/>
      <c r="R10" s="51" t="s">
        <v>34</v>
      </c>
      <c r="T10" s="135" t="s">
        <v>154</v>
      </c>
    </row>
    <row r="11" spans="1:20" x14ac:dyDescent="0.2">
      <c r="A11" s="42" t="s">
        <v>33</v>
      </c>
      <c r="B11" s="33"/>
      <c r="C11" s="33"/>
      <c r="D11" s="33"/>
      <c r="E11" s="68"/>
      <c r="F11" s="68"/>
      <c r="G11" s="33"/>
      <c r="H11" s="33"/>
      <c r="I11" s="33"/>
      <c r="J11" s="33"/>
      <c r="K11" s="33"/>
      <c r="L11" s="33"/>
      <c r="M11" s="33"/>
      <c r="N11" s="33"/>
      <c r="O11" s="33"/>
      <c r="P11" s="33"/>
      <c r="Q11" s="33"/>
      <c r="R11" s="33"/>
    </row>
    <row r="12" spans="1:20" ht="14.25" x14ac:dyDescent="0.2">
      <c r="A12" s="32" t="s">
        <v>148</v>
      </c>
      <c r="B12" s="32" t="s">
        <v>95</v>
      </c>
      <c r="C12" s="33" t="s">
        <v>40</v>
      </c>
      <c r="D12" s="68" t="s">
        <v>75</v>
      </c>
      <c r="E12" s="61">
        <f>Salaries!$L$11</f>
        <v>105000</v>
      </c>
      <c r="F12" s="68"/>
      <c r="G12" s="62">
        <f t="shared" ref="G12:G20" si="0">E12*0.0765</f>
        <v>8032.5</v>
      </c>
      <c r="H12" s="62">
        <f t="shared" ref="H12:H18" si="1">0.203*E12</f>
        <v>21315</v>
      </c>
      <c r="I12" s="62">
        <f>800*12</f>
        <v>9600</v>
      </c>
      <c r="J12" s="62">
        <f>145*12</f>
        <v>1740</v>
      </c>
      <c r="K12" s="62">
        <f>SUM(G12:J12)</f>
        <v>40687.5</v>
      </c>
      <c r="L12" s="33"/>
      <c r="M12" s="136">
        <f>Salaries!C11</f>
        <v>0.68965517241379315</v>
      </c>
      <c r="N12" s="136">
        <f>Salaries!E11</f>
        <v>0.31034482758620691</v>
      </c>
      <c r="O12" s="137">
        <f>Salaries!D11</f>
        <v>0</v>
      </c>
      <c r="P12" s="61">
        <f t="shared" ref="P12:P20" si="2">K12*M12</f>
        <v>28060.34482758621</v>
      </c>
      <c r="Q12" s="61"/>
      <c r="R12" s="61">
        <f t="shared" ref="R12:R20" si="3">K12*N12</f>
        <v>12627.155172413793</v>
      </c>
      <c r="S12" s="15"/>
      <c r="T12" s="62">
        <f t="shared" ref="T12:T19" si="4">K12*O12</f>
        <v>0</v>
      </c>
    </row>
    <row r="13" spans="1:20" ht="14.25" x14ac:dyDescent="0.2">
      <c r="A13" s="32" t="s">
        <v>149</v>
      </c>
      <c r="B13" s="32" t="s">
        <v>155</v>
      </c>
      <c r="C13" s="33" t="s">
        <v>166</v>
      </c>
      <c r="D13" s="68" t="s">
        <v>75</v>
      </c>
      <c r="E13" s="61">
        <f>Salaries!$L$12</f>
        <v>59229.624999999993</v>
      </c>
      <c r="F13" s="68"/>
      <c r="G13" s="62">
        <f t="shared" si="0"/>
        <v>4531.0663124999992</v>
      </c>
      <c r="H13" s="62">
        <f t="shared" si="1"/>
        <v>12023.613874999999</v>
      </c>
      <c r="I13" s="62">
        <f>1830*12</f>
        <v>21960</v>
      </c>
      <c r="J13" s="62">
        <f>145*12</f>
        <v>1740</v>
      </c>
      <c r="K13" s="62">
        <f>SUM(G13:J13)</f>
        <v>40254.680187499995</v>
      </c>
      <c r="L13" s="33"/>
      <c r="M13" s="136">
        <f>Salaries!C12</f>
        <v>0.68965517241379315</v>
      </c>
      <c r="N13" s="136">
        <f>Salaries!E12</f>
        <v>0.31034482758620691</v>
      </c>
      <c r="O13" s="137">
        <f>Salaries!D12</f>
        <v>0</v>
      </c>
      <c r="P13" s="61">
        <f t="shared" si="2"/>
        <v>27761.848405172412</v>
      </c>
      <c r="Q13" s="61"/>
      <c r="R13" s="61">
        <f t="shared" si="3"/>
        <v>12492.831782327585</v>
      </c>
      <c r="S13" s="15"/>
      <c r="T13" s="62">
        <f t="shared" si="4"/>
        <v>0</v>
      </c>
    </row>
    <row r="14" spans="1:20" ht="14.25" x14ac:dyDescent="0.2">
      <c r="A14" s="32" t="s">
        <v>152</v>
      </c>
      <c r="B14" s="32" t="s">
        <v>157</v>
      </c>
      <c r="C14" s="33" t="s">
        <v>40</v>
      </c>
      <c r="D14" s="68" t="s">
        <v>75</v>
      </c>
      <c r="E14" s="61">
        <f>Salaries!L13</f>
        <v>36771.875</v>
      </c>
      <c r="F14" s="68"/>
      <c r="G14" s="62">
        <f t="shared" si="0"/>
        <v>2813.0484375000001</v>
      </c>
      <c r="H14" s="62">
        <f t="shared" si="1"/>
        <v>7464.6906250000002</v>
      </c>
      <c r="I14" s="62">
        <f>825*12</f>
        <v>9900</v>
      </c>
      <c r="J14" s="62">
        <f>145*12</f>
        <v>1740</v>
      </c>
      <c r="K14" s="62">
        <f>SUM(G14:J14)</f>
        <v>21917.739062500001</v>
      </c>
      <c r="L14" s="33"/>
      <c r="M14" s="136">
        <f>Salaries!C13</f>
        <v>0.65625</v>
      </c>
      <c r="N14" s="136">
        <f>Salaries!E13</f>
        <v>0.34375</v>
      </c>
      <c r="O14" s="137">
        <v>0</v>
      </c>
      <c r="P14" s="61">
        <f t="shared" si="2"/>
        <v>14383.516259765625</v>
      </c>
      <c r="Q14" s="61"/>
      <c r="R14" s="61">
        <f t="shared" si="3"/>
        <v>7534.2228027343754</v>
      </c>
      <c r="S14" s="15"/>
      <c r="T14" s="62">
        <f t="shared" si="4"/>
        <v>0</v>
      </c>
    </row>
    <row r="15" spans="1:20" ht="14.25" x14ac:dyDescent="0.2">
      <c r="A15" s="32" t="s">
        <v>150</v>
      </c>
      <c r="B15" s="32" t="s">
        <v>157</v>
      </c>
      <c r="C15" s="33" t="s">
        <v>39</v>
      </c>
      <c r="D15" s="68" t="s">
        <v>75</v>
      </c>
      <c r="E15" s="61">
        <f>Salaries!L14</f>
        <v>53112.424999999996</v>
      </c>
      <c r="F15" s="68"/>
      <c r="G15" s="62">
        <f t="shared" si="0"/>
        <v>4063.1005124999997</v>
      </c>
      <c r="H15" s="62">
        <f t="shared" si="1"/>
        <v>10781.822275</v>
      </c>
      <c r="I15" s="62">
        <f>1830*12</f>
        <v>21960</v>
      </c>
      <c r="J15" s="62">
        <v>0</v>
      </c>
      <c r="K15" s="62">
        <f>SUM(G15:J15)</f>
        <v>36804.9227875</v>
      </c>
      <c r="L15" s="33"/>
      <c r="M15" s="136">
        <v>0</v>
      </c>
      <c r="N15" s="136">
        <f>Salaries!E14</f>
        <v>1</v>
      </c>
      <c r="O15" s="137">
        <v>0</v>
      </c>
      <c r="P15" s="61">
        <f t="shared" si="2"/>
        <v>0</v>
      </c>
      <c r="Q15" s="61"/>
      <c r="R15" s="61">
        <f t="shared" si="3"/>
        <v>36804.9227875</v>
      </c>
      <c r="S15" s="15"/>
      <c r="T15" s="62">
        <f t="shared" si="4"/>
        <v>0</v>
      </c>
    </row>
    <row r="16" spans="1:20" ht="14.25" x14ac:dyDescent="0.2">
      <c r="A16" s="32" t="s">
        <v>151</v>
      </c>
      <c r="B16" s="32" t="s">
        <v>158</v>
      </c>
      <c r="C16" s="33" t="s">
        <v>39</v>
      </c>
      <c r="D16" s="68" t="s">
        <v>75</v>
      </c>
      <c r="E16" s="61">
        <f>Salaries!L15</f>
        <v>39306.699999999997</v>
      </c>
      <c r="F16" s="68"/>
      <c r="G16" s="62">
        <f t="shared" si="0"/>
        <v>3006.9625499999997</v>
      </c>
      <c r="H16" s="62">
        <f t="shared" si="1"/>
        <v>7979.2600999999995</v>
      </c>
      <c r="I16" s="62">
        <f>1830*12</f>
        <v>21960</v>
      </c>
      <c r="J16" s="62">
        <f>145*12</f>
        <v>1740</v>
      </c>
      <c r="K16" s="62">
        <f>SUM(G16:J16)</f>
        <v>34686.222649999996</v>
      </c>
      <c r="L16" s="33"/>
      <c r="M16" s="136">
        <f>Salaries!C15</f>
        <v>0.58750000000000002</v>
      </c>
      <c r="N16" s="136">
        <f>Salaries!E15</f>
        <v>0.41249999999999998</v>
      </c>
      <c r="O16" s="137">
        <v>0</v>
      </c>
      <c r="P16" s="61">
        <f t="shared" si="2"/>
        <v>20378.155806874998</v>
      </c>
      <c r="Q16" s="61"/>
      <c r="R16" s="61">
        <f t="shared" si="3"/>
        <v>14308.066843124998</v>
      </c>
      <c r="S16" s="15"/>
      <c r="T16" s="62">
        <f t="shared" si="4"/>
        <v>0</v>
      </c>
    </row>
    <row r="17" spans="1:20" ht="14.25" x14ac:dyDescent="0.2">
      <c r="A17" s="86" t="s">
        <v>183</v>
      </c>
      <c r="B17" s="32" t="s">
        <v>158</v>
      </c>
      <c r="C17" s="33" t="s">
        <v>40</v>
      </c>
      <c r="D17" s="68" t="s">
        <v>204</v>
      </c>
      <c r="E17" s="62">
        <f>Salaries!$H$16</f>
        <v>35131.875</v>
      </c>
      <c r="F17" s="62"/>
      <c r="G17" s="62">
        <f t="shared" si="0"/>
        <v>2687.5884375000001</v>
      </c>
      <c r="H17" s="62">
        <f t="shared" si="1"/>
        <v>7131.7706250000001</v>
      </c>
      <c r="I17" s="62">
        <f>825*12</f>
        <v>9900</v>
      </c>
      <c r="J17" s="62">
        <f>145*12</f>
        <v>1740</v>
      </c>
      <c r="K17" s="62">
        <f>SUM(G17:J17)+1</f>
        <v>21460.3590625</v>
      </c>
      <c r="L17" s="62"/>
      <c r="M17" s="136">
        <v>0</v>
      </c>
      <c r="N17" s="136">
        <f>Salaries!E16</f>
        <v>1</v>
      </c>
      <c r="O17" s="137">
        <v>0</v>
      </c>
      <c r="P17" s="61">
        <f t="shared" si="2"/>
        <v>0</v>
      </c>
      <c r="Q17" s="61"/>
      <c r="R17" s="61">
        <f t="shared" si="3"/>
        <v>21460.3590625</v>
      </c>
      <c r="S17" s="15"/>
      <c r="T17" s="62">
        <f t="shared" si="4"/>
        <v>0</v>
      </c>
    </row>
    <row r="18" spans="1:20" ht="14.25" x14ac:dyDescent="0.2">
      <c r="A18" s="86" t="s">
        <v>153</v>
      </c>
      <c r="B18" s="32" t="s">
        <v>156</v>
      </c>
      <c r="C18" s="33" t="s">
        <v>40</v>
      </c>
      <c r="D18" s="68" t="s">
        <v>75</v>
      </c>
      <c r="E18" s="62">
        <f>Salaries!$H$17</f>
        <v>27346.999999999996</v>
      </c>
      <c r="F18" s="62"/>
      <c r="G18" s="62">
        <f t="shared" si="0"/>
        <v>2092.0454999999997</v>
      </c>
      <c r="H18" s="62">
        <f t="shared" si="1"/>
        <v>5551.4409999999998</v>
      </c>
      <c r="I18" s="62">
        <f>825*12</f>
        <v>9900</v>
      </c>
      <c r="J18" s="62">
        <f>145*12</f>
        <v>1740</v>
      </c>
      <c r="K18" s="62">
        <f>SUM(G18:J18)</f>
        <v>19283.486499999999</v>
      </c>
      <c r="L18" s="62"/>
      <c r="M18" s="136">
        <f>Salaries!C17</f>
        <v>1</v>
      </c>
      <c r="N18" s="136">
        <v>0</v>
      </c>
      <c r="O18" s="137">
        <v>0</v>
      </c>
      <c r="P18" s="61">
        <f t="shared" si="2"/>
        <v>19283.486499999999</v>
      </c>
      <c r="Q18" s="61"/>
      <c r="R18" s="61">
        <f t="shared" si="3"/>
        <v>0</v>
      </c>
      <c r="S18" s="15"/>
      <c r="T18" s="62">
        <f t="shared" si="4"/>
        <v>0</v>
      </c>
    </row>
    <row r="19" spans="1:20" ht="14.25" x14ac:dyDescent="0.2">
      <c r="A19" s="86" t="s">
        <v>207</v>
      </c>
      <c r="B19" s="32" t="s">
        <v>209</v>
      </c>
      <c r="C19" s="33" t="s">
        <v>189</v>
      </c>
      <c r="D19" s="68" t="s">
        <v>189</v>
      </c>
      <c r="E19" s="62">
        <v>14000</v>
      </c>
      <c r="F19" s="62"/>
      <c r="G19" s="62">
        <f t="shared" si="0"/>
        <v>1071</v>
      </c>
      <c r="H19" s="62">
        <v>0</v>
      </c>
      <c r="I19" s="62">
        <v>0</v>
      </c>
      <c r="J19" s="62">
        <v>0</v>
      </c>
      <c r="K19" s="62">
        <v>0</v>
      </c>
      <c r="L19" s="62"/>
      <c r="M19" s="136">
        <v>0</v>
      </c>
      <c r="N19" s="136">
        <v>1</v>
      </c>
      <c r="O19" s="137">
        <v>0</v>
      </c>
      <c r="P19" s="61">
        <f t="shared" si="2"/>
        <v>0</v>
      </c>
      <c r="Q19" s="61"/>
      <c r="R19" s="61">
        <f t="shared" si="3"/>
        <v>0</v>
      </c>
      <c r="S19" s="15"/>
      <c r="T19" s="62">
        <f t="shared" si="4"/>
        <v>0</v>
      </c>
    </row>
    <row r="20" spans="1:20" ht="14.25" x14ac:dyDescent="0.2">
      <c r="A20" s="86"/>
      <c r="B20" s="32" t="s">
        <v>185</v>
      </c>
      <c r="C20" s="33"/>
      <c r="D20" s="68"/>
      <c r="E20" s="62">
        <f>Salaries!$L$19</f>
        <v>15000</v>
      </c>
      <c r="F20" s="62"/>
      <c r="G20" s="62">
        <f t="shared" si="0"/>
        <v>1147.5</v>
      </c>
      <c r="H20" s="62">
        <f>0.1897*E20</f>
        <v>2845.5</v>
      </c>
      <c r="I20" s="62"/>
      <c r="J20" s="62"/>
      <c r="K20" s="62">
        <f>SUM(G20:J20)+1</f>
        <v>3994</v>
      </c>
      <c r="L20" s="62"/>
      <c r="M20" s="136">
        <v>0.5</v>
      </c>
      <c r="N20" s="136">
        <v>0.5</v>
      </c>
      <c r="O20" s="137">
        <v>0</v>
      </c>
      <c r="P20" s="61">
        <f t="shared" si="2"/>
        <v>1997</v>
      </c>
      <c r="Q20" s="61"/>
      <c r="R20" s="61">
        <f t="shared" si="3"/>
        <v>1997</v>
      </c>
      <c r="S20" s="15"/>
      <c r="T20" s="62">
        <v>0</v>
      </c>
    </row>
    <row r="21" spans="1:20" x14ac:dyDescent="0.2">
      <c r="A21" s="33"/>
      <c r="B21" s="33"/>
      <c r="C21" s="33"/>
      <c r="D21" s="68"/>
      <c r="E21" s="69">
        <f>SUM(E12:E20)</f>
        <v>384899.5</v>
      </c>
      <c r="F21" s="70"/>
      <c r="G21" s="69">
        <f>SUM(G12:G20)+1</f>
        <v>29445.811749999997</v>
      </c>
      <c r="H21" s="69">
        <f>SUM(H12:H20)+1</f>
        <v>75094.098500000007</v>
      </c>
      <c r="I21" s="69">
        <f>SUM(I12:I20)</f>
        <v>105180</v>
      </c>
      <c r="J21" s="69">
        <f>SUM(J12:J20)</f>
        <v>10440</v>
      </c>
      <c r="K21" s="69">
        <f>SUM(K12:K20)</f>
        <v>219088.91025000002</v>
      </c>
      <c r="L21" s="71"/>
      <c r="M21" s="71"/>
      <c r="N21" s="71"/>
      <c r="O21" s="62"/>
      <c r="P21" s="72">
        <f>SUM(P12:P20)</f>
        <v>111864.35179939926</v>
      </c>
      <c r="Q21" s="73"/>
      <c r="R21" s="72">
        <f>SUM(R12:R20)</f>
        <v>107224.55845060074</v>
      </c>
      <c r="S21" s="15"/>
      <c r="T21" s="138">
        <f>SUM(T12:T20)+1</f>
        <v>1</v>
      </c>
    </row>
    <row r="22" spans="1:20" x14ac:dyDescent="0.2">
      <c r="A22" s="33"/>
      <c r="B22" s="33"/>
      <c r="C22" s="33"/>
      <c r="D22" s="68"/>
      <c r="E22" s="71"/>
      <c r="F22" s="33"/>
      <c r="G22" s="62"/>
      <c r="H22" s="62"/>
      <c r="I22" s="62"/>
      <c r="J22" s="62"/>
      <c r="K22" s="62"/>
      <c r="L22" s="62"/>
      <c r="M22" s="62"/>
      <c r="N22" s="62"/>
      <c r="O22" s="62"/>
      <c r="P22" s="61"/>
      <c r="Q22" s="61"/>
      <c r="R22" s="61"/>
      <c r="S22" s="15"/>
      <c r="T22" s="62"/>
    </row>
    <row r="23" spans="1:20" x14ac:dyDescent="0.2">
      <c r="A23" s="42" t="s">
        <v>96</v>
      </c>
      <c r="B23" s="33"/>
      <c r="C23" s="33"/>
      <c r="D23" s="68"/>
      <c r="E23" s="71"/>
      <c r="F23" s="33"/>
      <c r="G23" s="62"/>
      <c r="H23" s="62"/>
      <c r="I23" s="62"/>
      <c r="J23" s="62"/>
      <c r="K23" s="62"/>
      <c r="L23" s="62"/>
      <c r="M23" s="62"/>
      <c r="N23" s="62"/>
      <c r="O23" s="62"/>
      <c r="P23" s="61"/>
      <c r="Q23" s="61"/>
      <c r="R23" s="61"/>
      <c r="S23" s="15"/>
      <c r="T23" s="62"/>
    </row>
    <row r="24" spans="1:20" ht="14.25" x14ac:dyDescent="0.2">
      <c r="A24" s="32" t="s">
        <v>259</v>
      </c>
      <c r="B24" s="33"/>
      <c r="C24" s="33" t="s">
        <v>167</v>
      </c>
      <c r="D24" s="68"/>
      <c r="E24" s="71"/>
      <c r="F24" s="33"/>
      <c r="G24" s="62">
        <v>0</v>
      </c>
      <c r="H24" s="62"/>
      <c r="I24" s="62">
        <f>425*12</f>
        <v>5100</v>
      </c>
      <c r="J24" s="62"/>
      <c r="K24" s="62">
        <f>SUM(G24:J24)</f>
        <v>5100</v>
      </c>
      <c r="L24" s="62"/>
      <c r="M24" s="31">
        <v>1</v>
      </c>
      <c r="N24" s="31">
        <v>0</v>
      </c>
      <c r="O24" s="31">
        <v>0</v>
      </c>
      <c r="P24" s="61">
        <f t="shared" ref="P24:P36" si="5">K24</f>
        <v>5100</v>
      </c>
      <c r="Q24" s="61"/>
      <c r="R24" s="61">
        <v>0</v>
      </c>
      <c r="S24" s="15"/>
      <c r="T24" s="61">
        <v>0</v>
      </c>
    </row>
    <row r="25" spans="1:20" ht="14.25" x14ac:dyDescent="0.2">
      <c r="A25" s="32" t="s">
        <v>260</v>
      </c>
      <c r="B25" s="33"/>
      <c r="C25" s="33" t="s">
        <v>167</v>
      </c>
      <c r="D25" s="68"/>
      <c r="E25" s="71"/>
      <c r="F25" s="33"/>
      <c r="G25" s="62">
        <f>105*12</f>
        <v>1260</v>
      </c>
      <c r="H25" s="62"/>
      <c r="I25" s="62">
        <f>425*12</f>
        <v>5100</v>
      </c>
      <c r="J25" s="62"/>
      <c r="K25" s="62">
        <f>SUM(G25:J25)</f>
        <v>6360</v>
      </c>
      <c r="L25" s="62"/>
      <c r="M25" s="31">
        <v>1</v>
      </c>
      <c r="N25" s="31">
        <v>0</v>
      </c>
      <c r="O25" s="31">
        <v>0</v>
      </c>
      <c r="P25" s="61">
        <f t="shared" si="5"/>
        <v>6360</v>
      </c>
      <c r="Q25" s="61"/>
      <c r="R25" s="61"/>
      <c r="S25" s="15"/>
      <c r="T25" s="61"/>
    </row>
    <row r="26" spans="1:20" ht="14.25" x14ac:dyDescent="0.2">
      <c r="A26" s="32" t="s">
        <v>261</v>
      </c>
      <c r="B26" s="33"/>
      <c r="C26" s="33" t="s">
        <v>167</v>
      </c>
      <c r="D26" s="68"/>
      <c r="E26" s="71"/>
      <c r="F26" s="33"/>
      <c r="G26" s="62">
        <f>105*12</f>
        <v>1260</v>
      </c>
      <c r="H26" s="62"/>
      <c r="I26" s="62">
        <f>425*12</f>
        <v>5100</v>
      </c>
      <c r="J26" s="62"/>
      <c r="K26" s="62">
        <f>SUM(G26:J26)</f>
        <v>6360</v>
      </c>
      <c r="L26" s="62"/>
      <c r="M26" s="31">
        <v>1</v>
      </c>
      <c r="N26" s="31">
        <v>0</v>
      </c>
      <c r="O26" s="31">
        <v>0</v>
      </c>
      <c r="P26" s="61">
        <f t="shared" si="5"/>
        <v>6360</v>
      </c>
      <c r="Q26" s="61"/>
      <c r="R26" s="61">
        <v>0</v>
      </c>
      <c r="S26" s="15"/>
      <c r="T26" s="61">
        <v>0</v>
      </c>
    </row>
    <row r="27" spans="1:20" ht="14.25" x14ac:dyDescent="0.2">
      <c r="A27" s="32" t="s">
        <v>262</v>
      </c>
      <c r="B27" s="33"/>
      <c r="C27" s="33" t="s">
        <v>167</v>
      </c>
      <c r="D27" s="68"/>
      <c r="E27" s="71"/>
      <c r="F27" s="33"/>
      <c r="G27" s="62">
        <v>0</v>
      </c>
      <c r="H27" s="62"/>
      <c r="I27" s="62">
        <f>425*12</f>
        <v>5100</v>
      </c>
      <c r="J27" s="62"/>
      <c r="K27" s="62">
        <f>SUM(G27:J27)</f>
        <v>5100</v>
      </c>
      <c r="L27" s="62"/>
      <c r="M27" s="31">
        <v>1</v>
      </c>
      <c r="N27" s="31">
        <v>0</v>
      </c>
      <c r="O27" s="31">
        <v>0</v>
      </c>
      <c r="P27" s="61">
        <f t="shared" si="5"/>
        <v>5100</v>
      </c>
      <c r="Q27" s="61"/>
      <c r="R27" s="61">
        <v>0</v>
      </c>
      <c r="S27" s="15"/>
      <c r="T27" s="61">
        <v>0</v>
      </c>
    </row>
    <row r="28" spans="1:20" ht="14.25" x14ac:dyDescent="0.2">
      <c r="A28" s="32" t="s">
        <v>263</v>
      </c>
      <c r="B28" s="33"/>
      <c r="C28" s="33" t="s">
        <v>167</v>
      </c>
      <c r="D28" s="68"/>
      <c r="E28" s="71"/>
      <c r="F28" s="33"/>
      <c r="G28" s="62">
        <v>0</v>
      </c>
      <c r="H28" s="62"/>
      <c r="I28" s="62">
        <f>1425*12</f>
        <v>17100</v>
      </c>
      <c r="J28" s="62"/>
      <c r="K28" s="62">
        <f t="shared" ref="K28:K36" si="6">SUM(G28:J28)</f>
        <v>17100</v>
      </c>
      <c r="L28" s="62"/>
      <c r="M28" s="31">
        <v>1</v>
      </c>
      <c r="N28" s="31">
        <v>0</v>
      </c>
      <c r="O28" s="31">
        <v>0</v>
      </c>
      <c r="P28" s="61">
        <f t="shared" si="5"/>
        <v>17100</v>
      </c>
      <c r="Q28" s="61"/>
      <c r="R28" s="61">
        <v>0</v>
      </c>
      <c r="S28" s="15"/>
      <c r="T28" s="61">
        <v>0</v>
      </c>
    </row>
    <row r="29" spans="1:20" ht="14.25" x14ac:dyDescent="0.2">
      <c r="A29" s="32" t="s">
        <v>264</v>
      </c>
      <c r="B29" s="33"/>
      <c r="C29" s="33" t="s">
        <v>167</v>
      </c>
      <c r="D29" s="68"/>
      <c r="E29" s="71"/>
      <c r="F29" s="33"/>
      <c r="G29" s="62">
        <v>0</v>
      </c>
      <c r="H29" s="62"/>
      <c r="I29" s="62">
        <f>1425*12</f>
        <v>17100</v>
      </c>
      <c r="J29" s="62"/>
      <c r="K29" s="62">
        <f t="shared" si="6"/>
        <v>17100</v>
      </c>
      <c r="L29" s="62"/>
      <c r="M29" s="31">
        <v>1</v>
      </c>
      <c r="N29" s="31">
        <v>0</v>
      </c>
      <c r="O29" s="31">
        <v>0</v>
      </c>
      <c r="P29" s="61">
        <f t="shared" si="5"/>
        <v>17100</v>
      </c>
      <c r="Q29" s="61"/>
      <c r="R29" s="61">
        <v>0</v>
      </c>
      <c r="S29" s="15"/>
      <c r="T29" s="61">
        <v>0</v>
      </c>
    </row>
    <row r="30" spans="1:20" ht="14.25" x14ac:dyDescent="0.2">
      <c r="A30" s="32" t="s">
        <v>265</v>
      </c>
      <c r="B30" s="33"/>
      <c r="C30" s="33" t="s">
        <v>167</v>
      </c>
      <c r="D30" s="68"/>
      <c r="E30" s="71"/>
      <c r="F30" s="33"/>
      <c r="G30" s="62">
        <f>105*12</f>
        <v>1260</v>
      </c>
      <c r="H30" s="62"/>
      <c r="I30" s="62">
        <f t="shared" ref="I30:I35" si="7">1025*12</f>
        <v>12300</v>
      </c>
      <c r="J30" s="62"/>
      <c r="K30" s="62">
        <f t="shared" si="6"/>
        <v>13560</v>
      </c>
      <c r="L30" s="62"/>
      <c r="M30" s="31">
        <v>1</v>
      </c>
      <c r="N30" s="31">
        <v>0</v>
      </c>
      <c r="O30" s="31">
        <v>0</v>
      </c>
      <c r="P30" s="61">
        <f t="shared" si="5"/>
        <v>13560</v>
      </c>
      <c r="Q30" s="61"/>
      <c r="R30" s="61">
        <v>0</v>
      </c>
      <c r="S30" s="15"/>
      <c r="T30" s="61">
        <v>0</v>
      </c>
    </row>
    <row r="31" spans="1:20" ht="14.25" x14ac:dyDescent="0.2">
      <c r="A31" s="32" t="s">
        <v>266</v>
      </c>
      <c r="B31" s="33"/>
      <c r="C31" s="33" t="s">
        <v>167</v>
      </c>
      <c r="D31" s="68"/>
      <c r="E31" s="71"/>
      <c r="F31" s="33"/>
      <c r="G31" s="62">
        <v>0</v>
      </c>
      <c r="H31" s="62"/>
      <c r="I31" s="62">
        <f t="shared" si="7"/>
        <v>12300</v>
      </c>
      <c r="J31" s="62"/>
      <c r="K31" s="62">
        <f t="shared" si="6"/>
        <v>12300</v>
      </c>
      <c r="L31" s="62"/>
      <c r="M31" s="31">
        <v>1</v>
      </c>
      <c r="N31" s="31">
        <v>0</v>
      </c>
      <c r="O31" s="31">
        <v>0</v>
      </c>
      <c r="P31" s="61">
        <f t="shared" si="5"/>
        <v>12300</v>
      </c>
      <c r="Q31" s="61"/>
      <c r="R31" s="61">
        <v>0</v>
      </c>
      <c r="S31" s="15"/>
      <c r="T31" s="61">
        <v>0</v>
      </c>
    </row>
    <row r="32" spans="1:20" ht="14.25" x14ac:dyDescent="0.2">
      <c r="A32" s="32" t="s">
        <v>267</v>
      </c>
      <c r="B32" s="33"/>
      <c r="C32" s="33" t="s">
        <v>167</v>
      </c>
      <c r="D32" s="68"/>
      <c r="E32" s="71"/>
      <c r="F32" s="33"/>
      <c r="G32" s="62">
        <f>1260+1260</f>
        <v>2520</v>
      </c>
      <c r="H32" s="62"/>
      <c r="I32" s="62">
        <f t="shared" si="7"/>
        <v>12300</v>
      </c>
      <c r="J32" s="62"/>
      <c r="K32" s="62">
        <f t="shared" si="6"/>
        <v>14820</v>
      </c>
      <c r="L32" s="62"/>
      <c r="M32" s="31">
        <v>1</v>
      </c>
      <c r="N32" s="31">
        <v>0</v>
      </c>
      <c r="O32" s="31">
        <v>0</v>
      </c>
      <c r="P32" s="61">
        <f t="shared" si="5"/>
        <v>14820</v>
      </c>
      <c r="Q32" s="61"/>
      <c r="R32" s="61">
        <v>0</v>
      </c>
      <c r="S32" s="15"/>
      <c r="T32" s="61">
        <v>0</v>
      </c>
    </row>
    <row r="33" spans="1:20" ht="14.25" x14ac:dyDescent="0.2">
      <c r="A33" s="32" t="s">
        <v>268</v>
      </c>
      <c r="B33" s="33"/>
      <c r="C33" s="33" t="s">
        <v>167</v>
      </c>
      <c r="D33" s="68"/>
      <c r="E33" s="71"/>
      <c r="F33" s="33"/>
      <c r="G33" s="62">
        <f>105*12</f>
        <v>1260</v>
      </c>
      <c r="H33" s="62"/>
      <c r="I33" s="62">
        <f t="shared" si="7"/>
        <v>12300</v>
      </c>
      <c r="J33" s="62"/>
      <c r="K33" s="62">
        <f t="shared" si="6"/>
        <v>13560</v>
      </c>
      <c r="L33" s="62"/>
      <c r="M33" s="31">
        <v>1</v>
      </c>
      <c r="N33" s="31">
        <v>0</v>
      </c>
      <c r="O33" s="31">
        <v>0</v>
      </c>
      <c r="P33" s="61">
        <f t="shared" si="5"/>
        <v>13560</v>
      </c>
      <c r="Q33" s="61"/>
      <c r="R33" s="61">
        <v>0</v>
      </c>
      <c r="S33" s="15"/>
      <c r="T33" s="61">
        <v>0</v>
      </c>
    </row>
    <row r="34" spans="1:20" ht="14.25" x14ac:dyDescent="0.2">
      <c r="A34" s="32" t="s">
        <v>269</v>
      </c>
      <c r="B34" s="33"/>
      <c r="C34" s="33" t="s">
        <v>167</v>
      </c>
      <c r="D34" s="68"/>
      <c r="E34" s="71"/>
      <c r="F34" s="33"/>
      <c r="G34" s="62">
        <v>0</v>
      </c>
      <c r="H34" s="62"/>
      <c r="I34" s="62">
        <f t="shared" si="7"/>
        <v>12300</v>
      </c>
      <c r="J34" s="62"/>
      <c r="K34" s="62">
        <f t="shared" si="6"/>
        <v>12300</v>
      </c>
      <c r="L34" s="62"/>
      <c r="M34" s="31">
        <v>1</v>
      </c>
      <c r="N34" s="31">
        <v>0</v>
      </c>
      <c r="O34" s="31">
        <v>0</v>
      </c>
      <c r="P34" s="61">
        <f t="shared" si="5"/>
        <v>12300</v>
      </c>
      <c r="Q34" s="61"/>
      <c r="R34" s="61">
        <v>0</v>
      </c>
      <c r="S34" s="15"/>
      <c r="T34" s="61">
        <v>0</v>
      </c>
    </row>
    <row r="35" spans="1:20" ht="14.25" x14ac:dyDescent="0.2">
      <c r="A35" s="32" t="s">
        <v>270</v>
      </c>
      <c r="B35" s="33"/>
      <c r="C35" s="33" t="s">
        <v>167</v>
      </c>
      <c r="D35" s="68"/>
      <c r="E35" s="71"/>
      <c r="F35" s="33"/>
      <c r="G35" s="62">
        <f>1260+1260</f>
        <v>2520</v>
      </c>
      <c r="H35" s="62"/>
      <c r="I35" s="62">
        <f t="shared" si="7"/>
        <v>12300</v>
      </c>
      <c r="J35" s="62"/>
      <c r="K35" s="62">
        <f t="shared" si="6"/>
        <v>14820</v>
      </c>
      <c r="L35" s="62"/>
      <c r="M35" s="31">
        <v>1</v>
      </c>
      <c r="N35" s="31">
        <v>0</v>
      </c>
      <c r="O35" s="31">
        <v>0</v>
      </c>
      <c r="P35" s="61">
        <f t="shared" si="5"/>
        <v>14820</v>
      </c>
      <c r="Q35" s="61"/>
      <c r="R35" s="61">
        <v>0</v>
      </c>
      <c r="S35" s="15"/>
      <c r="T35" s="61">
        <v>0</v>
      </c>
    </row>
    <row r="36" spans="1:20" ht="14.25" x14ac:dyDescent="0.2">
      <c r="A36" s="32" t="s">
        <v>271</v>
      </c>
      <c r="B36" s="33"/>
      <c r="C36" s="33" t="s">
        <v>167</v>
      </c>
      <c r="D36" s="68"/>
      <c r="E36" s="71"/>
      <c r="F36" s="33"/>
      <c r="G36" s="62">
        <f>105*12</f>
        <v>1260</v>
      </c>
      <c r="H36" s="62"/>
      <c r="I36" s="62">
        <f>425*12</f>
        <v>5100</v>
      </c>
      <c r="J36" s="62"/>
      <c r="K36" s="62">
        <f t="shared" si="6"/>
        <v>6360</v>
      </c>
      <c r="L36" s="62"/>
      <c r="M36" s="31">
        <v>1</v>
      </c>
      <c r="N36" s="31">
        <v>0</v>
      </c>
      <c r="O36" s="31">
        <v>0</v>
      </c>
      <c r="P36" s="61">
        <f t="shared" si="5"/>
        <v>6360</v>
      </c>
      <c r="Q36" s="61"/>
      <c r="R36" s="61">
        <v>0</v>
      </c>
      <c r="S36" s="15"/>
      <c r="T36" s="61">
        <v>0</v>
      </c>
    </row>
    <row r="37" spans="1:20" x14ac:dyDescent="0.2">
      <c r="A37" s="33"/>
      <c r="B37" s="33"/>
      <c r="C37" s="33"/>
      <c r="D37" s="68"/>
      <c r="E37" s="71"/>
      <c r="F37" s="33"/>
      <c r="G37" s="69">
        <f>SUM(G24:G36)</f>
        <v>11340</v>
      </c>
      <c r="H37" s="69">
        <f>SUM(H24:H36)</f>
        <v>0</v>
      </c>
      <c r="I37" s="69">
        <f>SUM(I24:I36)</f>
        <v>133500</v>
      </c>
      <c r="J37" s="69">
        <f>SUM(J24:J36)</f>
        <v>0</v>
      </c>
      <c r="K37" s="69">
        <f>SUM(K24:K36)</f>
        <v>144840</v>
      </c>
      <c r="L37" s="71"/>
      <c r="M37" s="71"/>
      <c r="N37" s="71"/>
      <c r="O37" s="62"/>
      <c r="P37" s="72">
        <f>SUM(P24:P36)</f>
        <v>144840</v>
      </c>
      <c r="Q37" s="73"/>
      <c r="R37" s="72">
        <v>0</v>
      </c>
      <c r="S37" s="15"/>
      <c r="T37" s="72">
        <v>0</v>
      </c>
    </row>
    <row r="38" spans="1:20" x14ac:dyDescent="0.2">
      <c r="A38" s="33"/>
      <c r="B38" s="33"/>
      <c r="C38" s="33"/>
      <c r="D38" s="68"/>
      <c r="E38" s="33"/>
      <c r="F38" s="33"/>
      <c r="G38" s="62"/>
      <c r="H38" s="62"/>
      <c r="I38" s="62"/>
      <c r="J38" s="62"/>
      <c r="K38" s="62"/>
      <c r="L38" s="62"/>
      <c r="M38" s="62"/>
      <c r="N38" s="62"/>
      <c r="O38" s="62"/>
      <c r="P38" s="61"/>
      <c r="Q38" s="61"/>
      <c r="R38" s="61"/>
      <c r="S38" s="15"/>
      <c r="T38" s="62"/>
    </row>
    <row r="39" spans="1:20" x14ac:dyDescent="0.2">
      <c r="A39" s="28" t="s">
        <v>32</v>
      </c>
      <c r="B39" s="33"/>
      <c r="C39" s="33"/>
      <c r="D39" s="68"/>
      <c r="E39" s="33"/>
      <c r="F39" s="33"/>
      <c r="G39" s="62"/>
      <c r="H39" s="62"/>
      <c r="I39" s="62"/>
      <c r="J39" s="62"/>
      <c r="K39" s="62"/>
      <c r="L39" s="62"/>
      <c r="M39" s="62"/>
      <c r="N39" s="62"/>
      <c r="O39" s="62"/>
      <c r="P39" s="61"/>
      <c r="Q39" s="61"/>
      <c r="R39" s="61"/>
      <c r="S39" s="15"/>
      <c r="T39" s="62"/>
    </row>
    <row r="40" spans="1:20" ht="14.25" x14ac:dyDescent="0.2">
      <c r="A40" s="32" t="s">
        <v>272</v>
      </c>
      <c r="B40" s="32" t="s">
        <v>159</v>
      </c>
      <c r="C40" s="33" t="s">
        <v>166</v>
      </c>
      <c r="D40" s="68" t="s">
        <v>75</v>
      </c>
      <c r="E40" s="61">
        <f>Salaries!L29</f>
        <v>49009.35</v>
      </c>
      <c r="F40" s="33"/>
      <c r="G40" s="62">
        <f t="shared" ref="G40:G48" si="8">E40*0.0765</f>
        <v>3749.215275</v>
      </c>
      <c r="H40" s="62">
        <f>E40*0.203</f>
        <v>9948.8980499999998</v>
      </c>
      <c r="I40" s="62">
        <f>1830*12</f>
        <v>21960</v>
      </c>
      <c r="J40" s="62">
        <f>145*12</f>
        <v>1740</v>
      </c>
      <c r="K40" s="62">
        <f>SUM(G40:J40)</f>
        <v>37398.113324999998</v>
      </c>
      <c r="L40" s="62"/>
      <c r="M40" s="31">
        <v>1</v>
      </c>
      <c r="N40" s="31">
        <v>0</v>
      </c>
      <c r="O40" s="31">
        <v>0</v>
      </c>
      <c r="P40" s="61">
        <f t="shared" ref="P40:P48" si="9">K40</f>
        <v>37398.113324999998</v>
      </c>
      <c r="Q40" s="61"/>
      <c r="R40" s="61">
        <v>0</v>
      </c>
      <c r="S40" s="15"/>
      <c r="T40" s="61">
        <v>0</v>
      </c>
    </row>
    <row r="41" spans="1:20" ht="14.25" x14ac:dyDescent="0.2">
      <c r="A41" s="32" t="s">
        <v>273</v>
      </c>
      <c r="B41" s="32" t="s">
        <v>159</v>
      </c>
      <c r="C41" s="33" t="s">
        <v>166</v>
      </c>
      <c r="D41" s="68" t="s">
        <v>75</v>
      </c>
      <c r="E41" s="61">
        <f>Salaries!L30</f>
        <v>49009.35</v>
      </c>
      <c r="F41" s="33"/>
      <c r="G41" s="62">
        <f t="shared" si="8"/>
        <v>3749.215275</v>
      </c>
      <c r="H41" s="62">
        <f>E41*0.203</f>
        <v>9948.8980499999998</v>
      </c>
      <c r="I41" s="62">
        <f>1830*12</f>
        <v>21960</v>
      </c>
      <c r="J41" s="62">
        <f>145*12</f>
        <v>1740</v>
      </c>
      <c r="K41" s="62">
        <f>SUM(G41:J41)</f>
        <v>37398.113324999998</v>
      </c>
      <c r="L41" s="62"/>
      <c r="M41" s="31">
        <v>1</v>
      </c>
      <c r="N41" s="31">
        <v>0</v>
      </c>
      <c r="O41" s="31">
        <v>0</v>
      </c>
      <c r="P41" s="61">
        <f t="shared" si="9"/>
        <v>37398.113324999998</v>
      </c>
      <c r="Q41" s="61"/>
      <c r="R41" s="61">
        <v>0</v>
      </c>
      <c r="S41" s="15"/>
      <c r="T41" s="61">
        <v>0</v>
      </c>
    </row>
    <row r="42" spans="1:20" ht="14.25" x14ac:dyDescent="0.2">
      <c r="A42" s="32" t="s">
        <v>274</v>
      </c>
      <c r="B42" s="32" t="s">
        <v>159</v>
      </c>
      <c r="C42" s="33" t="s">
        <v>166</v>
      </c>
      <c r="D42" s="68" t="s">
        <v>75</v>
      </c>
      <c r="E42" s="61">
        <f>Salaries!L31</f>
        <v>52638.874999999993</v>
      </c>
      <c r="F42" s="62"/>
      <c r="G42" s="62">
        <f t="shared" si="8"/>
        <v>4026.8739374999996</v>
      </c>
      <c r="H42" s="62">
        <f>E42*0.203</f>
        <v>10685.691624999999</v>
      </c>
      <c r="I42" s="62">
        <f>1830*12</f>
        <v>21960</v>
      </c>
      <c r="J42" s="62">
        <f>145*12</f>
        <v>1740</v>
      </c>
      <c r="K42" s="62">
        <f>SUM(G42:J42)</f>
        <v>38412.5655625</v>
      </c>
      <c r="L42" s="62"/>
      <c r="M42" s="31">
        <v>1</v>
      </c>
      <c r="N42" s="31">
        <v>0</v>
      </c>
      <c r="O42" s="31">
        <v>0</v>
      </c>
      <c r="P42" s="61">
        <f t="shared" si="9"/>
        <v>38412.5655625</v>
      </c>
      <c r="Q42" s="61"/>
      <c r="R42" s="61">
        <v>0</v>
      </c>
      <c r="S42" s="15"/>
      <c r="T42" s="61">
        <v>0</v>
      </c>
    </row>
    <row r="43" spans="1:20" ht="14.25" x14ac:dyDescent="0.2">
      <c r="A43" s="32" t="s">
        <v>275</v>
      </c>
      <c r="B43" s="32" t="s">
        <v>159</v>
      </c>
      <c r="C43" s="33" t="s">
        <v>166</v>
      </c>
      <c r="D43" s="68" t="s">
        <v>75</v>
      </c>
      <c r="E43" s="61">
        <f>Salaries!L32</f>
        <v>52638.874999999993</v>
      </c>
      <c r="F43" s="62"/>
      <c r="G43" s="62">
        <f t="shared" si="8"/>
        <v>4026.8739374999996</v>
      </c>
      <c r="H43" s="62">
        <f>E43*21%</f>
        <v>11054.163749999998</v>
      </c>
      <c r="I43" s="62">
        <f>1830*12</f>
        <v>21960</v>
      </c>
      <c r="J43" s="62">
        <f>145*12</f>
        <v>1740</v>
      </c>
      <c r="K43" s="62">
        <f>SUM(G43:J43)</f>
        <v>38781.037687499993</v>
      </c>
      <c r="L43" s="62"/>
      <c r="M43" s="31">
        <v>1</v>
      </c>
      <c r="N43" s="31">
        <v>0</v>
      </c>
      <c r="O43" s="31">
        <v>0</v>
      </c>
      <c r="P43" s="61">
        <f t="shared" si="9"/>
        <v>38781.037687499993</v>
      </c>
      <c r="Q43" s="61"/>
      <c r="R43" s="61">
        <v>0</v>
      </c>
      <c r="S43" s="15"/>
      <c r="T43" s="61">
        <v>0</v>
      </c>
    </row>
    <row r="44" spans="1:20" ht="14.25" x14ac:dyDescent="0.2">
      <c r="A44" s="32" t="s">
        <v>276</v>
      </c>
      <c r="B44" s="32" t="s">
        <v>205</v>
      </c>
      <c r="C44" s="33" t="s">
        <v>40</v>
      </c>
      <c r="D44" s="68">
        <v>5</v>
      </c>
      <c r="E44" s="61">
        <f>Salaries!L34</f>
        <v>33195.649999999994</v>
      </c>
      <c r="F44" s="62" t="s">
        <v>171</v>
      </c>
      <c r="G44" s="62">
        <f t="shared" si="8"/>
        <v>2539.4672249999994</v>
      </c>
      <c r="H44" s="62">
        <f>E44*16.6%</f>
        <v>5510.477899999999</v>
      </c>
      <c r="I44" s="62">
        <f>825*12</f>
        <v>9900</v>
      </c>
      <c r="J44" s="62">
        <f>145*12</f>
        <v>1740</v>
      </c>
      <c r="K44" s="62">
        <f>SUM(G44:J44)-1</f>
        <v>19688.945124999998</v>
      </c>
      <c r="L44" s="62"/>
      <c r="M44" s="31">
        <v>1</v>
      </c>
      <c r="N44" s="31">
        <v>0</v>
      </c>
      <c r="O44" s="31">
        <v>0</v>
      </c>
      <c r="P44" s="61">
        <f t="shared" si="9"/>
        <v>19688.945124999998</v>
      </c>
      <c r="Q44" s="61"/>
      <c r="R44" s="61">
        <v>0</v>
      </c>
      <c r="S44" s="15"/>
      <c r="T44" s="61">
        <v>0</v>
      </c>
    </row>
    <row r="45" spans="1:20" ht="14.25" x14ac:dyDescent="0.2">
      <c r="A45" s="32" t="s">
        <v>277</v>
      </c>
      <c r="B45" s="32" t="s">
        <v>203</v>
      </c>
      <c r="C45" s="33" t="s">
        <v>40</v>
      </c>
      <c r="D45" s="68">
        <v>6</v>
      </c>
      <c r="E45" s="61">
        <v>33000</v>
      </c>
      <c r="F45" s="62"/>
      <c r="G45" s="62">
        <f t="shared" si="8"/>
        <v>2524.5</v>
      </c>
      <c r="H45" s="62">
        <f>E45*11%</f>
        <v>3630</v>
      </c>
      <c r="I45" s="62">
        <f>825*12/2</f>
        <v>4950</v>
      </c>
      <c r="J45" s="62">
        <f>145*12/2</f>
        <v>870</v>
      </c>
      <c r="K45" s="62">
        <f>SUM(G45:J45)-1</f>
        <v>11973.5</v>
      </c>
      <c r="L45" s="62"/>
      <c r="M45" s="31">
        <v>1</v>
      </c>
      <c r="N45" s="31">
        <v>0</v>
      </c>
      <c r="O45" s="31">
        <v>0</v>
      </c>
      <c r="P45" s="61">
        <f t="shared" si="9"/>
        <v>11973.5</v>
      </c>
      <c r="Q45" s="61"/>
      <c r="R45" s="61"/>
      <c r="S45" s="15"/>
      <c r="T45" s="61"/>
    </row>
    <row r="46" spans="1:20" ht="14.25" x14ac:dyDescent="0.2">
      <c r="A46" s="32"/>
      <c r="B46" s="32" t="s">
        <v>184</v>
      </c>
      <c r="C46" s="33" t="s">
        <v>189</v>
      </c>
      <c r="D46" s="68">
        <v>6</v>
      </c>
      <c r="E46" s="113">
        <f>Salaries!$L$35</f>
        <v>14505.8</v>
      </c>
      <c r="F46" s="62"/>
      <c r="G46" s="62">
        <f t="shared" si="8"/>
        <v>1109.6937</v>
      </c>
      <c r="H46" s="62">
        <f>E46*11%</f>
        <v>1595.6379999999999</v>
      </c>
      <c r="I46" s="62">
        <v>0</v>
      </c>
      <c r="J46" s="62">
        <v>0</v>
      </c>
      <c r="K46" s="62">
        <f>SUM(G46:J46)+1</f>
        <v>2706.3316999999997</v>
      </c>
      <c r="L46" s="62"/>
      <c r="M46" s="31">
        <v>1</v>
      </c>
      <c r="N46" s="31">
        <v>0</v>
      </c>
      <c r="O46" s="31">
        <v>0</v>
      </c>
      <c r="P46" s="61">
        <f t="shared" si="9"/>
        <v>2706.3316999999997</v>
      </c>
      <c r="Q46" s="61"/>
      <c r="R46" s="61"/>
      <c r="S46" s="15"/>
      <c r="T46" s="61"/>
    </row>
    <row r="47" spans="1:20" ht="14.25" x14ac:dyDescent="0.2">
      <c r="A47" s="32"/>
      <c r="B47" s="32" t="s">
        <v>184</v>
      </c>
      <c r="C47" s="33" t="s">
        <v>189</v>
      </c>
      <c r="D47" s="68">
        <v>6</v>
      </c>
      <c r="E47" s="113"/>
      <c r="F47" s="62"/>
      <c r="G47" s="62">
        <f>E47*0.0765</f>
        <v>0</v>
      </c>
      <c r="H47" s="62">
        <f>E47*11%</f>
        <v>0</v>
      </c>
      <c r="I47" s="62">
        <v>0</v>
      </c>
      <c r="J47" s="62">
        <v>0</v>
      </c>
      <c r="K47" s="62"/>
      <c r="L47" s="62"/>
      <c r="M47" s="31">
        <v>1</v>
      </c>
      <c r="N47" s="31">
        <v>0</v>
      </c>
      <c r="O47" s="31">
        <v>0</v>
      </c>
      <c r="P47" s="61">
        <f t="shared" si="9"/>
        <v>0</v>
      </c>
      <c r="Q47" s="61"/>
      <c r="R47" s="61"/>
      <c r="S47" s="15"/>
      <c r="T47" s="61"/>
    </row>
    <row r="48" spans="1:20" ht="14.25" x14ac:dyDescent="0.2">
      <c r="A48" s="32"/>
      <c r="B48" s="32" t="s">
        <v>186</v>
      </c>
      <c r="C48" s="33"/>
      <c r="D48" s="68"/>
      <c r="E48" s="61">
        <f>Salaries!$L$37</f>
        <v>100000</v>
      </c>
      <c r="F48" s="62"/>
      <c r="G48" s="62">
        <f t="shared" si="8"/>
        <v>7650</v>
      </c>
      <c r="H48" s="62">
        <f>E48*18.3%</f>
        <v>18300</v>
      </c>
      <c r="I48" s="62"/>
      <c r="J48" s="62"/>
      <c r="K48" s="62">
        <f>SUM(G48:J48)</f>
        <v>25950</v>
      </c>
      <c r="L48" s="62"/>
      <c r="M48" s="31">
        <v>1</v>
      </c>
      <c r="N48" s="31">
        <v>0</v>
      </c>
      <c r="O48" s="31">
        <v>0</v>
      </c>
      <c r="P48" s="61">
        <f t="shared" si="9"/>
        <v>25950</v>
      </c>
      <c r="Q48" s="61"/>
      <c r="R48" s="61"/>
      <c r="S48" s="15"/>
      <c r="T48" s="61"/>
    </row>
    <row r="49" spans="1:20" x14ac:dyDescent="0.2">
      <c r="A49" s="33"/>
      <c r="B49" s="33"/>
      <c r="C49" s="33"/>
      <c r="D49" s="33"/>
      <c r="E49" s="72">
        <f>SUM(E40:E48)</f>
        <v>383997.89999999997</v>
      </c>
      <c r="F49" s="71"/>
      <c r="G49" s="69">
        <f>SUM(G40:G48)</f>
        <v>29375.839349999998</v>
      </c>
      <c r="H49" s="69">
        <f>SUM(H40:H48)</f>
        <v>70673.767374999996</v>
      </c>
      <c r="I49" s="69">
        <f>SUM(I40:I48)</f>
        <v>102690</v>
      </c>
      <c r="J49" s="69">
        <f>SUM(J40:J48)</f>
        <v>9570</v>
      </c>
      <c r="K49" s="69">
        <f>SUM(K40:K48)</f>
        <v>212308.60672500002</v>
      </c>
      <c r="L49" s="71"/>
      <c r="M49" s="71"/>
      <c r="N49" s="71"/>
      <c r="O49" s="62"/>
      <c r="P49" s="72">
        <f>SUM(P40:P48)</f>
        <v>212308.60672500002</v>
      </c>
      <c r="Q49" s="73"/>
      <c r="R49" s="72">
        <f>SUM(R42:R44)</f>
        <v>0</v>
      </c>
      <c r="S49" s="15"/>
      <c r="T49" s="72">
        <f>SUM(T42:T44)</f>
        <v>0</v>
      </c>
    </row>
    <row r="50" spans="1:20" x14ac:dyDescent="0.2">
      <c r="A50" s="33"/>
      <c r="B50" s="33"/>
      <c r="C50" s="33"/>
      <c r="D50" s="33"/>
      <c r="E50" s="33"/>
      <c r="F50" s="33"/>
      <c r="G50" s="62"/>
      <c r="H50" s="62"/>
      <c r="I50" s="62"/>
      <c r="J50" s="62"/>
      <c r="K50" s="62"/>
      <c r="L50" s="62"/>
      <c r="M50" s="62"/>
      <c r="N50" s="62"/>
      <c r="O50" s="62"/>
      <c r="P50" s="61"/>
      <c r="Q50" s="61"/>
      <c r="R50" s="61"/>
      <c r="S50" s="15"/>
      <c r="T50" s="62"/>
    </row>
    <row r="51" spans="1:20" x14ac:dyDescent="0.2">
      <c r="A51" s="33"/>
      <c r="B51" s="33"/>
      <c r="C51" s="33"/>
      <c r="D51" s="33"/>
      <c r="E51" s="33"/>
      <c r="F51" s="33"/>
      <c r="G51" s="62"/>
      <c r="H51" s="62"/>
      <c r="I51" s="62"/>
      <c r="J51" s="62"/>
      <c r="K51" s="62"/>
      <c r="L51" s="62"/>
      <c r="M51" s="62"/>
      <c r="N51" s="62"/>
      <c r="O51" s="62"/>
      <c r="P51" s="61"/>
      <c r="Q51" s="61"/>
      <c r="R51" s="61"/>
      <c r="S51" s="15"/>
      <c r="T51" s="62"/>
    </row>
    <row r="52" spans="1:20" x14ac:dyDescent="0.2">
      <c r="A52" s="28" t="s">
        <v>43</v>
      </c>
      <c r="B52" s="33"/>
      <c r="C52" s="33"/>
      <c r="D52" s="33"/>
      <c r="E52" s="74">
        <f>E21+E49</f>
        <v>768897.39999999991</v>
      </c>
      <c r="F52" s="33"/>
      <c r="G52" s="74">
        <f>G21+G37+G49</f>
        <v>70161.651099999988</v>
      </c>
      <c r="H52" s="74">
        <f>H21+H37+H49</f>
        <v>145767.86587500002</v>
      </c>
      <c r="I52" s="74">
        <f>I21+I37+I49</f>
        <v>341370</v>
      </c>
      <c r="J52" s="74">
        <f>J21+J37+J49</f>
        <v>20010</v>
      </c>
      <c r="K52" s="74">
        <f>K21+K37+K49+1</f>
        <v>576238.51697500004</v>
      </c>
      <c r="L52" s="62"/>
      <c r="M52" s="62"/>
      <c r="N52" s="62"/>
      <c r="O52" s="62"/>
      <c r="P52" s="73">
        <f>P21+P37+P49</f>
        <v>469012.95852439926</v>
      </c>
      <c r="Q52" s="73">
        <f>Q21+Q37+Q49-1</f>
        <v>-1</v>
      </c>
      <c r="R52" s="73">
        <f>R21+R37+R49</f>
        <v>107224.55845060074</v>
      </c>
      <c r="S52" s="73"/>
      <c r="T52" s="73">
        <f>T21+T37+T49</f>
        <v>1</v>
      </c>
    </row>
    <row r="53" spans="1:20" x14ac:dyDescent="0.2">
      <c r="G53" s="9"/>
      <c r="H53" s="9"/>
      <c r="I53" s="9"/>
      <c r="J53" s="9"/>
      <c r="K53" s="9"/>
      <c r="L53" s="9"/>
      <c r="M53" s="9"/>
      <c r="N53" s="9"/>
      <c r="O53" s="9"/>
      <c r="P53" s="15"/>
      <c r="Q53" s="15"/>
      <c r="R53" s="15"/>
      <c r="S53" s="15"/>
    </row>
    <row r="54" spans="1:20" x14ac:dyDescent="0.2">
      <c r="G54" s="9"/>
      <c r="H54" s="9"/>
      <c r="I54" s="9"/>
      <c r="J54" s="9"/>
      <c r="K54" s="9"/>
      <c r="L54" s="9"/>
      <c r="M54" s="9"/>
      <c r="N54" s="9"/>
      <c r="O54" s="9"/>
      <c r="P54" s="15"/>
      <c r="Q54" s="15"/>
      <c r="R54" s="15"/>
      <c r="S54" s="15"/>
    </row>
    <row r="55" spans="1:20" x14ac:dyDescent="0.2">
      <c r="G55" s="9"/>
      <c r="H55" s="9"/>
      <c r="I55" s="9"/>
      <c r="J55" s="9"/>
      <c r="K55" s="9"/>
      <c r="L55" s="9"/>
      <c r="M55" s="9"/>
      <c r="N55" s="9"/>
      <c r="O55" s="9"/>
      <c r="P55" s="9"/>
      <c r="Q55" s="9"/>
      <c r="R55" s="9"/>
      <c r="S55" s="9"/>
    </row>
    <row r="56" spans="1:20" x14ac:dyDescent="0.2">
      <c r="G56" s="9"/>
      <c r="H56" s="9"/>
      <c r="I56" s="9"/>
      <c r="J56" s="9"/>
      <c r="K56" s="9"/>
      <c r="L56" s="9"/>
      <c r="M56" s="9"/>
      <c r="N56" s="9"/>
      <c r="O56" s="9"/>
      <c r="P56" s="9"/>
      <c r="Q56" s="9"/>
      <c r="R56" s="9"/>
      <c r="S56" s="9"/>
    </row>
    <row r="57" spans="1:20" x14ac:dyDescent="0.2">
      <c r="G57" s="9"/>
      <c r="H57" s="9"/>
      <c r="I57" s="9"/>
      <c r="J57" s="9"/>
      <c r="K57" s="9"/>
      <c r="L57" s="9"/>
      <c r="M57" s="9"/>
      <c r="N57" s="9"/>
      <c r="O57" s="9"/>
      <c r="P57" s="9"/>
      <c r="Q57" s="9"/>
      <c r="R57" s="9"/>
      <c r="S57" s="9"/>
    </row>
    <row r="58" spans="1:20" x14ac:dyDescent="0.2">
      <c r="G58" s="9"/>
      <c r="H58" s="9"/>
      <c r="I58" s="9"/>
      <c r="J58" s="9"/>
      <c r="K58" s="9"/>
      <c r="L58" s="9"/>
      <c r="M58" s="9"/>
      <c r="N58" s="9"/>
      <c r="O58" s="9"/>
      <c r="P58" s="9"/>
      <c r="Q58" s="9"/>
      <c r="R58" s="9"/>
      <c r="S58" s="9"/>
    </row>
    <row r="59" spans="1:20" x14ac:dyDescent="0.2">
      <c r="G59" s="9"/>
      <c r="H59" s="9"/>
      <c r="I59" s="9"/>
      <c r="J59" s="9"/>
      <c r="K59" s="9"/>
      <c r="L59" s="9"/>
      <c r="M59" s="9"/>
      <c r="N59" s="9"/>
      <c r="O59" s="9"/>
      <c r="P59" s="9"/>
      <c r="Q59" s="9"/>
      <c r="R59" s="9"/>
      <c r="S59" s="9"/>
    </row>
    <row r="60" spans="1:20" x14ac:dyDescent="0.2">
      <c r="G60" s="9"/>
      <c r="H60" s="9"/>
      <c r="I60" s="9"/>
      <c r="J60" s="9"/>
      <c r="K60" s="9"/>
      <c r="L60" s="9"/>
      <c r="M60" s="9"/>
      <c r="N60" s="9"/>
      <c r="O60" s="9"/>
    </row>
    <row r="61" spans="1:20" x14ac:dyDescent="0.2">
      <c r="G61" s="9"/>
      <c r="H61" s="9"/>
      <c r="I61" s="9"/>
      <c r="J61" s="9"/>
      <c r="K61" s="9"/>
      <c r="L61" s="9"/>
      <c r="M61" s="9"/>
      <c r="N61" s="9"/>
      <c r="O61" s="9"/>
    </row>
    <row r="62" spans="1:20" x14ac:dyDescent="0.2">
      <c r="G62" s="9"/>
      <c r="H62" s="9"/>
      <c r="I62" s="9"/>
      <c r="J62" s="9"/>
      <c r="K62" s="9"/>
      <c r="L62" s="9"/>
      <c r="M62" s="9"/>
      <c r="N62" s="9"/>
      <c r="O62" s="9"/>
    </row>
    <row r="63" spans="1:20" x14ac:dyDescent="0.2">
      <c r="G63" s="9"/>
      <c r="H63" s="9"/>
      <c r="I63" s="9"/>
      <c r="J63" s="9"/>
      <c r="K63" s="9"/>
      <c r="L63" s="9"/>
      <c r="M63" s="9"/>
      <c r="N63" s="9"/>
      <c r="O63" s="9"/>
    </row>
    <row r="64" spans="1:20" x14ac:dyDescent="0.2">
      <c r="G64" s="9"/>
      <c r="H64" s="9"/>
      <c r="I64" s="9"/>
      <c r="J64" s="9"/>
      <c r="K64" s="9"/>
      <c r="L64" s="9"/>
      <c r="M64" s="9"/>
      <c r="N64" s="9"/>
      <c r="O64" s="9"/>
    </row>
    <row r="65" spans="7:15" x14ac:dyDescent="0.2">
      <c r="G65" s="9"/>
      <c r="H65" s="9"/>
      <c r="I65" s="9"/>
      <c r="J65" s="9"/>
      <c r="K65" s="9"/>
      <c r="L65" s="9"/>
      <c r="M65" s="9"/>
      <c r="N65" s="9"/>
      <c r="O65" s="9"/>
    </row>
    <row r="66" spans="7:15" x14ac:dyDescent="0.2">
      <c r="G66" s="9"/>
      <c r="H66" s="9"/>
      <c r="I66" s="9"/>
      <c r="J66" s="9"/>
      <c r="K66" s="9"/>
      <c r="L66" s="9"/>
      <c r="M66" s="9"/>
      <c r="N66" s="9"/>
      <c r="O66" s="9"/>
    </row>
  </sheetData>
  <mergeCells count="5">
    <mergeCell ref="A1:E1"/>
    <mergeCell ref="A2:E2"/>
    <mergeCell ref="A3:E3"/>
    <mergeCell ref="A4:E4"/>
    <mergeCell ref="L9:O9"/>
  </mergeCells>
  <phoneticPr fontId="6" type="noConversion"/>
  <pageMargins left="0.05" right="0.05" top="0.25" bottom="0.25" header="0.5" footer="0.5"/>
  <pageSetup paperSize="5"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74"/>
  <sheetViews>
    <sheetView topLeftCell="B8" zoomScale="180" zoomScaleNormal="180" zoomScalePageLayoutView="125" workbookViewId="0">
      <selection activeCell="I35" sqref="I35"/>
    </sheetView>
  </sheetViews>
  <sheetFormatPr defaultColWidth="8.7109375" defaultRowHeight="12.75" x14ac:dyDescent="0.2"/>
  <cols>
    <col min="1" max="1" width="2.42578125" customWidth="1"/>
    <col min="2" max="2" width="16.7109375" style="13" customWidth="1"/>
    <col min="3" max="3" width="14" customWidth="1"/>
    <col min="4" max="4" width="5.42578125" customWidth="1"/>
    <col min="5" max="6" width="12.85546875" customWidth="1"/>
    <col min="7" max="7" width="17.28515625" customWidth="1"/>
    <col min="8" max="8" width="10" bestFit="1" customWidth="1"/>
  </cols>
  <sheetData>
    <row r="1" spans="1:33" x14ac:dyDescent="0.2">
      <c r="A1" s="194" t="s">
        <v>258</v>
      </c>
      <c r="B1" s="194"/>
      <c r="C1" s="194"/>
      <c r="D1" s="194"/>
      <c r="E1" s="194"/>
      <c r="F1" s="194"/>
      <c r="G1" s="194"/>
      <c r="H1" s="194"/>
    </row>
    <row r="2" spans="1:33" x14ac:dyDescent="0.2">
      <c r="A2" s="194" t="s">
        <v>54</v>
      </c>
      <c r="B2" s="194"/>
      <c r="C2" s="194"/>
      <c r="D2" s="194"/>
      <c r="E2" s="194"/>
      <c r="F2" s="194"/>
      <c r="G2" s="194"/>
      <c r="H2" s="194"/>
    </row>
    <row r="3" spans="1:33" x14ac:dyDescent="0.2">
      <c r="A3" s="194" t="s">
        <v>23</v>
      </c>
      <c r="B3" s="194"/>
      <c r="C3" s="194"/>
      <c r="D3" s="194"/>
      <c r="E3" s="194"/>
      <c r="F3" s="194"/>
      <c r="G3" s="194"/>
      <c r="H3" s="194"/>
    </row>
    <row r="4" spans="1:33" s="16" customFormat="1" x14ac:dyDescent="0.2">
      <c r="A4" s="194" t="s">
        <v>182</v>
      </c>
      <c r="B4" s="194"/>
      <c r="C4" s="194"/>
      <c r="D4" s="194"/>
      <c r="E4" s="194"/>
      <c r="F4" s="194"/>
      <c r="G4" s="194"/>
      <c r="H4" s="194"/>
      <c r="I4" s="21"/>
      <c r="J4" s="21"/>
      <c r="K4" s="21"/>
      <c r="L4" s="21"/>
      <c r="M4" s="20"/>
      <c r="N4" s="20"/>
      <c r="O4" s="20"/>
      <c r="P4" s="20"/>
      <c r="Q4" s="20"/>
      <c r="R4" s="20"/>
      <c r="S4" s="20"/>
      <c r="T4" s="20"/>
      <c r="U4" s="20"/>
      <c r="V4" s="20"/>
      <c r="W4" s="20"/>
      <c r="X4" s="20"/>
      <c r="Y4" s="20"/>
      <c r="Z4" s="20"/>
      <c r="AA4" s="20"/>
      <c r="AB4" s="20"/>
      <c r="AC4" s="20"/>
      <c r="AD4" s="20"/>
      <c r="AE4" s="20"/>
      <c r="AF4" s="20"/>
      <c r="AG4" s="20"/>
    </row>
    <row r="5" spans="1:33" s="16" customFormat="1" x14ac:dyDescent="0.2">
      <c r="A5" s="33"/>
      <c r="B5" s="33"/>
      <c r="C5" s="33"/>
      <c r="D5" s="33"/>
      <c r="E5" s="33"/>
      <c r="F5" s="33"/>
      <c r="G5" s="33"/>
      <c r="H5" s="33"/>
      <c r="I5" s="21"/>
      <c r="J5" s="21"/>
      <c r="K5" s="21"/>
      <c r="L5" s="21"/>
      <c r="M5" s="20"/>
      <c r="N5" s="20"/>
      <c r="O5" s="20"/>
      <c r="P5" s="20"/>
      <c r="Q5" s="20"/>
      <c r="R5" s="20"/>
      <c r="S5" s="20"/>
      <c r="T5" s="20"/>
      <c r="U5" s="20"/>
      <c r="V5" s="20"/>
      <c r="W5" s="20"/>
      <c r="X5" s="20"/>
      <c r="Y5" s="20"/>
      <c r="Z5" s="20"/>
      <c r="AA5" s="20"/>
      <c r="AB5" s="20"/>
      <c r="AC5" s="20"/>
      <c r="AD5" s="20"/>
      <c r="AE5" s="20"/>
      <c r="AF5" s="20"/>
      <c r="AG5" s="20"/>
    </row>
    <row r="6" spans="1:33" s="16" customFormat="1" x14ac:dyDescent="0.2">
      <c r="A6" s="33"/>
      <c r="B6" s="33"/>
      <c r="C6" s="33"/>
      <c r="D6" s="33"/>
      <c r="E6" s="33"/>
      <c r="F6" s="33"/>
      <c r="G6" s="33"/>
      <c r="H6" s="33"/>
      <c r="I6" s="21"/>
      <c r="J6" s="21"/>
      <c r="K6" s="21"/>
      <c r="L6" s="21"/>
      <c r="M6" s="20"/>
      <c r="N6" s="20"/>
      <c r="O6" s="20"/>
      <c r="P6" s="20"/>
      <c r="Q6" s="20"/>
      <c r="R6" s="20"/>
      <c r="S6" s="20"/>
      <c r="T6" s="20"/>
      <c r="U6" s="20"/>
      <c r="V6" s="20"/>
      <c r="W6" s="20"/>
      <c r="X6" s="20"/>
      <c r="Y6" s="20"/>
      <c r="Z6" s="20"/>
      <c r="AA6" s="20"/>
      <c r="AB6" s="20"/>
      <c r="AC6" s="20"/>
      <c r="AD6" s="20"/>
      <c r="AE6" s="20"/>
      <c r="AF6" s="20"/>
      <c r="AG6" s="20"/>
    </row>
    <row r="7" spans="1:33" s="16" customFormat="1" x14ac:dyDescent="0.2">
      <c r="A7" s="33"/>
      <c r="B7" s="42" t="s">
        <v>235</v>
      </c>
      <c r="C7" s="33"/>
      <c r="D7" s="33"/>
      <c r="E7" s="33"/>
      <c r="F7" s="33"/>
      <c r="G7" s="33"/>
      <c r="H7" s="33"/>
      <c r="I7" s="21"/>
      <c r="J7" s="21"/>
      <c r="K7" s="21"/>
      <c r="L7" s="21"/>
      <c r="M7" s="20"/>
      <c r="N7" s="20"/>
      <c r="O7" s="20"/>
      <c r="P7" s="20"/>
      <c r="Q7" s="20"/>
      <c r="R7" s="20"/>
      <c r="S7" s="20"/>
      <c r="T7" s="20"/>
      <c r="U7" s="20"/>
      <c r="V7" s="20"/>
      <c r="W7" s="20"/>
      <c r="X7" s="20"/>
      <c r="Y7" s="20"/>
      <c r="Z7" s="20"/>
      <c r="AA7" s="20"/>
      <c r="AB7" s="20"/>
      <c r="AC7" s="20"/>
      <c r="AD7" s="20"/>
      <c r="AE7" s="20"/>
      <c r="AF7" s="20"/>
      <c r="AG7" s="20"/>
    </row>
    <row r="8" spans="1:33" s="16" customFormat="1" x14ac:dyDescent="0.2">
      <c r="A8" s="33"/>
      <c r="B8" s="33" t="s">
        <v>231</v>
      </c>
      <c r="C8" s="136">
        <f>Salaries!O42</f>
        <v>0.68965517241379315</v>
      </c>
      <c r="D8" s="33"/>
      <c r="E8" s="33"/>
      <c r="F8" s="33"/>
      <c r="G8" s="33"/>
      <c r="H8" s="33"/>
      <c r="I8" s="21"/>
      <c r="J8" s="21"/>
      <c r="K8" s="21"/>
      <c r="L8" s="21"/>
      <c r="M8" s="20"/>
      <c r="N8" s="20"/>
      <c r="O8" s="20"/>
      <c r="P8" s="20"/>
      <c r="Q8" s="20"/>
      <c r="R8" s="20"/>
      <c r="S8" s="20"/>
      <c r="T8" s="20"/>
      <c r="U8" s="20"/>
      <c r="V8" s="20"/>
      <c r="W8" s="20"/>
      <c r="X8" s="20"/>
      <c r="Y8" s="20"/>
      <c r="Z8" s="20"/>
      <c r="AA8" s="20"/>
      <c r="AB8" s="20"/>
      <c r="AC8" s="20"/>
      <c r="AD8" s="20"/>
      <c r="AE8" s="20"/>
      <c r="AF8" s="20"/>
      <c r="AG8" s="20"/>
    </row>
    <row r="9" spans="1:33" s="16" customFormat="1" x14ac:dyDescent="0.2">
      <c r="A9" s="33"/>
      <c r="B9" s="33" t="s">
        <v>34</v>
      </c>
      <c r="C9" s="136">
        <f>Salaries!S42</f>
        <v>0.31034482758620691</v>
      </c>
      <c r="D9" s="33"/>
      <c r="E9" s="33"/>
      <c r="F9" s="33"/>
      <c r="G9" s="33"/>
      <c r="H9" s="33"/>
      <c r="I9" s="21"/>
      <c r="J9" s="21"/>
      <c r="K9" s="21"/>
      <c r="L9" s="21"/>
      <c r="M9" s="20"/>
      <c r="N9" s="20"/>
      <c r="O9" s="20"/>
      <c r="P9" s="20"/>
      <c r="Q9" s="20"/>
      <c r="R9" s="20"/>
      <c r="S9" s="20"/>
      <c r="T9" s="20"/>
      <c r="U9" s="20"/>
      <c r="V9" s="20"/>
      <c r="W9" s="20"/>
      <c r="X9" s="20"/>
      <c r="Y9" s="20"/>
      <c r="Z9" s="20"/>
      <c r="AA9" s="20"/>
      <c r="AB9" s="20"/>
      <c r="AC9" s="20"/>
      <c r="AD9" s="20"/>
      <c r="AE9" s="20"/>
      <c r="AF9" s="20"/>
      <c r="AG9" s="20"/>
    </row>
    <row r="10" spans="1:33" x14ac:dyDescent="0.2">
      <c r="A10" s="33"/>
      <c r="B10" s="33"/>
      <c r="C10" s="33"/>
      <c r="D10" s="33"/>
      <c r="E10" s="33"/>
      <c r="F10" s="33"/>
      <c r="G10" s="33"/>
      <c r="H10" s="33"/>
      <c r="I10" s="24"/>
      <c r="J10" s="24"/>
      <c r="K10" s="24"/>
      <c r="L10" s="24"/>
      <c r="M10" s="13"/>
      <c r="N10" s="13"/>
      <c r="O10" s="13"/>
      <c r="P10" s="13"/>
      <c r="Q10" s="13"/>
      <c r="R10" s="13"/>
      <c r="S10" s="13"/>
      <c r="T10" s="13"/>
      <c r="U10" s="13"/>
      <c r="V10" s="13"/>
      <c r="W10" s="13"/>
      <c r="X10" s="13"/>
      <c r="Y10" s="13"/>
      <c r="Z10" s="13"/>
      <c r="AA10" s="13"/>
      <c r="AB10" s="13"/>
      <c r="AC10" s="13"/>
      <c r="AD10" s="13"/>
      <c r="AE10" s="13"/>
      <c r="AF10" s="13"/>
      <c r="AG10" s="13"/>
    </row>
    <row r="11" spans="1:33" x14ac:dyDescent="0.2">
      <c r="A11" s="33"/>
      <c r="B11" s="42" t="s">
        <v>232</v>
      </c>
      <c r="C11" s="33"/>
      <c r="D11" s="33"/>
      <c r="E11" s="33"/>
      <c r="F11" s="33"/>
      <c r="G11" s="33"/>
      <c r="H11" s="33"/>
      <c r="I11" s="206" t="s">
        <v>278</v>
      </c>
      <c r="J11" s="197"/>
      <c r="K11" s="197"/>
      <c r="L11" s="197"/>
      <c r="M11" s="197"/>
      <c r="N11" s="197"/>
      <c r="O11" s="197"/>
      <c r="P11" s="197"/>
      <c r="Q11" s="13"/>
      <c r="R11" s="13"/>
      <c r="S11" s="13"/>
      <c r="T11" s="13"/>
      <c r="U11" s="13"/>
      <c r="V11" s="13"/>
      <c r="W11" s="13"/>
      <c r="X11" s="13"/>
      <c r="Y11" s="13"/>
      <c r="Z11" s="13"/>
      <c r="AA11" s="13"/>
      <c r="AB11" s="13"/>
      <c r="AC11" s="13"/>
      <c r="AD11" s="13"/>
      <c r="AE11" s="13"/>
      <c r="AF11" s="13"/>
      <c r="AG11" s="13"/>
    </row>
    <row r="12" spans="1:33" x14ac:dyDescent="0.2">
      <c r="A12" s="33"/>
      <c r="B12" s="33" t="s">
        <v>231</v>
      </c>
      <c r="C12" s="33">
        <v>262</v>
      </c>
      <c r="D12" s="156">
        <f>C12/C14</f>
        <v>0.36797752808988765</v>
      </c>
      <c r="E12" s="33"/>
      <c r="F12" s="33"/>
      <c r="G12" s="33"/>
      <c r="H12" s="33"/>
      <c r="I12" s="197"/>
      <c r="J12" s="197"/>
      <c r="K12" s="197"/>
      <c r="L12" s="197"/>
      <c r="M12" s="197"/>
      <c r="N12" s="197"/>
      <c r="O12" s="197"/>
      <c r="P12" s="197"/>
      <c r="Q12" s="13"/>
      <c r="R12" s="13"/>
      <c r="S12" s="13"/>
      <c r="T12" s="13"/>
      <c r="U12" s="13"/>
      <c r="V12" s="13"/>
      <c r="W12" s="13"/>
      <c r="X12" s="13"/>
      <c r="Y12" s="13"/>
      <c r="Z12" s="13"/>
      <c r="AA12" s="13"/>
      <c r="AB12" s="13"/>
      <c r="AC12" s="13"/>
      <c r="AD12" s="13"/>
      <c r="AE12" s="13"/>
      <c r="AF12" s="13"/>
      <c r="AG12" s="13"/>
    </row>
    <row r="13" spans="1:33" x14ac:dyDescent="0.2">
      <c r="A13" s="33"/>
      <c r="B13" s="33" t="s">
        <v>34</v>
      </c>
      <c r="C13" s="49">
        <v>450</v>
      </c>
      <c r="D13" s="156">
        <f>C13/C14</f>
        <v>0.6320224719101124</v>
      </c>
      <c r="E13" s="33"/>
      <c r="F13" s="33"/>
      <c r="G13" s="33"/>
      <c r="H13" s="33"/>
      <c r="I13" s="197"/>
      <c r="J13" s="197"/>
      <c r="K13" s="197"/>
      <c r="L13" s="197"/>
      <c r="M13" s="197"/>
      <c r="N13" s="197"/>
      <c r="O13" s="197"/>
      <c r="P13" s="197"/>
      <c r="Q13" s="13"/>
      <c r="R13" s="13"/>
      <c r="S13" s="13"/>
      <c r="T13" s="13"/>
      <c r="U13" s="13"/>
      <c r="V13" s="13"/>
      <c r="W13" s="13"/>
      <c r="X13" s="13"/>
      <c r="Y13" s="13"/>
      <c r="Z13" s="13"/>
      <c r="AA13" s="13"/>
      <c r="AB13" s="13"/>
      <c r="AC13" s="13"/>
      <c r="AD13" s="13"/>
      <c r="AE13" s="13"/>
      <c r="AF13" s="13"/>
      <c r="AG13" s="13"/>
    </row>
    <row r="14" spans="1:33" x14ac:dyDescent="0.2">
      <c r="A14" s="33"/>
      <c r="B14" s="33"/>
      <c r="C14" s="33">
        <f>SUM(C12:C13)</f>
        <v>712</v>
      </c>
      <c r="D14" s="33"/>
      <c r="E14" s="33"/>
      <c r="F14" s="66"/>
      <c r="G14" s="67" t="s">
        <v>51</v>
      </c>
      <c r="H14" s="33"/>
      <c r="I14" s="197"/>
      <c r="J14" s="197"/>
      <c r="K14" s="197"/>
      <c r="L14" s="197"/>
      <c r="M14" s="197"/>
      <c r="N14" s="197"/>
      <c r="O14" s="197"/>
      <c r="P14" s="197"/>
      <c r="Q14" s="13"/>
      <c r="R14" s="13"/>
      <c r="S14" s="13"/>
      <c r="T14" s="13"/>
      <c r="U14" s="13"/>
      <c r="V14" s="13"/>
      <c r="W14" s="13"/>
      <c r="X14" s="13"/>
      <c r="Y14" s="13"/>
      <c r="Z14" s="13"/>
      <c r="AA14" s="13"/>
      <c r="AB14" s="13"/>
      <c r="AC14" s="13"/>
      <c r="AD14" s="13"/>
      <c r="AE14" s="13"/>
      <c r="AF14" s="13"/>
      <c r="AG14" s="13"/>
    </row>
    <row r="15" spans="1:33" x14ac:dyDescent="0.2">
      <c r="A15" s="33"/>
      <c r="B15" s="33"/>
      <c r="C15" s="33"/>
      <c r="D15" s="33"/>
      <c r="E15" s="43"/>
      <c r="F15" s="66" t="s">
        <v>97</v>
      </c>
      <c r="G15" s="67" t="s">
        <v>94</v>
      </c>
      <c r="H15" s="43"/>
      <c r="I15" s="197"/>
      <c r="J15" s="197"/>
      <c r="K15" s="197"/>
      <c r="L15" s="197"/>
      <c r="M15" s="197"/>
      <c r="N15" s="197"/>
      <c r="O15" s="197"/>
      <c r="P15" s="197"/>
      <c r="Q15" s="13"/>
      <c r="R15" s="13"/>
      <c r="S15" s="13"/>
      <c r="T15" s="13"/>
      <c r="U15" s="13"/>
      <c r="V15" s="13"/>
      <c r="W15" s="13"/>
      <c r="X15" s="13"/>
      <c r="Y15" s="13"/>
      <c r="Z15" s="13"/>
      <c r="AA15" s="13"/>
      <c r="AB15" s="13"/>
      <c r="AC15" s="13"/>
      <c r="AD15" s="13"/>
      <c r="AE15" s="13"/>
      <c r="AF15" s="13"/>
      <c r="AG15" s="13"/>
    </row>
    <row r="16" spans="1:33" s="16" customFormat="1" x14ac:dyDescent="0.2">
      <c r="A16" s="33"/>
      <c r="B16" s="33"/>
      <c r="C16" s="33"/>
      <c r="D16" s="33"/>
      <c r="E16" s="48" t="s">
        <v>42</v>
      </c>
      <c r="F16" s="50" t="s">
        <v>98</v>
      </c>
      <c r="G16" s="51" t="s">
        <v>34</v>
      </c>
      <c r="H16" s="43"/>
      <c r="I16" s="197"/>
      <c r="J16" s="197"/>
      <c r="K16" s="197"/>
      <c r="L16" s="197"/>
      <c r="M16" s="197"/>
      <c r="N16" s="197"/>
      <c r="O16" s="197"/>
      <c r="P16" s="197"/>
      <c r="Q16" s="20"/>
      <c r="R16" s="20"/>
      <c r="S16" s="20"/>
      <c r="T16" s="20"/>
      <c r="U16" s="20"/>
      <c r="V16" s="20"/>
      <c r="W16" s="20"/>
      <c r="X16" s="20"/>
      <c r="Y16" s="20"/>
      <c r="Z16" s="20"/>
      <c r="AA16" s="20"/>
      <c r="AB16" s="20"/>
      <c r="AC16" s="20"/>
      <c r="AD16" s="20"/>
      <c r="AE16" s="20"/>
      <c r="AF16" s="20"/>
      <c r="AG16" s="20"/>
    </row>
    <row r="17" spans="1:33" x14ac:dyDescent="0.2">
      <c r="A17" s="33"/>
      <c r="B17" s="33" t="s">
        <v>172</v>
      </c>
      <c r="C17" s="33"/>
      <c r="D17" s="33" t="s">
        <v>171</v>
      </c>
      <c r="E17" s="61">
        <v>4500</v>
      </c>
      <c r="F17" s="155">
        <v>4500</v>
      </c>
      <c r="G17" s="155">
        <v>0</v>
      </c>
      <c r="H17" s="33"/>
      <c r="I17" s="197"/>
      <c r="J17" s="197"/>
      <c r="K17" s="197"/>
      <c r="L17" s="197"/>
      <c r="M17" s="197"/>
      <c r="N17" s="197"/>
      <c r="O17" s="197"/>
      <c r="P17" s="197"/>
      <c r="Q17" s="13"/>
      <c r="R17" s="13"/>
      <c r="S17" s="13"/>
      <c r="T17" s="13"/>
      <c r="U17" s="13"/>
      <c r="V17" s="13"/>
      <c r="W17" s="13"/>
      <c r="X17" s="13"/>
      <c r="Y17" s="13"/>
      <c r="Z17" s="13"/>
      <c r="AA17" s="13"/>
      <c r="AB17" s="13"/>
      <c r="AC17" s="13"/>
      <c r="AD17" s="13"/>
      <c r="AE17" s="13"/>
      <c r="AF17" s="13"/>
      <c r="AG17" s="13"/>
    </row>
    <row r="18" spans="1:33" x14ac:dyDescent="0.2">
      <c r="A18" s="33"/>
      <c r="B18" s="33" t="s">
        <v>197</v>
      </c>
      <c r="C18" s="33"/>
      <c r="D18" s="33" t="s">
        <v>171</v>
      </c>
      <c r="E18" s="61">
        <v>12500</v>
      </c>
      <c r="F18" s="155">
        <f>E18*D12</f>
        <v>4599.7191011235955</v>
      </c>
      <c r="G18" s="155">
        <f>E18*D13</f>
        <v>7900.2808988764054</v>
      </c>
      <c r="H18" s="33" t="s">
        <v>232</v>
      </c>
      <c r="I18" s="197"/>
      <c r="J18" s="197"/>
      <c r="K18" s="197"/>
      <c r="L18" s="197"/>
      <c r="M18" s="197"/>
      <c r="N18" s="197"/>
      <c r="O18" s="197"/>
      <c r="P18" s="197"/>
      <c r="Q18" s="13"/>
      <c r="R18" s="13"/>
      <c r="S18" s="13"/>
      <c r="T18" s="13"/>
      <c r="U18" s="13"/>
      <c r="V18" s="13"/>
      <c r="W18" s="13"/>
      <c r="X18" s="13"/>
      <c r="Y18" s="13"/>
      <c r="Z18" s="13"/>
      <c r="AA18" s="13"/>
      <c r="AB18" s="13"/>
      <c r="AC18" s="13"/>
      <c r="AD18" s="13"/>
      <c r="AE18" s="13"/>
      <c r="AF18" s="13"/>
      <c r="AG18" s="13"/>
    </row>
    <row r="19" spans="1:33" x14ac:dyDescent="0.2">
      <c r="A19" s="33"/>
      <c r="B19" s="33" t="s">
        <v>110</v>
      </c>
      <c r="C19" s="33"/>
      <c r="D19" s="33" t="s">
        <v>171</v>
      </c>
      <c r="E19" s="61">
        <v>14000</v>
      </c>
      <c r="F19" s="155">
        <v>8000</v>
      </c>
      <c r="G19" s="155">
        <v>6000</v>
      </c>
      <c r="H19" s="62" t="s">
        <v>233</v>
      </c>
      <c r="I19" s="197"/>
      <c r="J19" s="197"/>
      <c r="K19" s="197"/>
      <c r="L19" s="197"/>
      <c r="M19" s="197"/>
      <c r="N19" s="197"/>
      <c r="O19" s="197"/>
      <c r="P19" s="197"/>
      <c r="Q19" s="13"/>
      <c r="R19" s="13"/>
      <c r="S19" s="13"/>
      <c r="T19" s="13"/>
      <c r="U19" s="13"/>
      <c r="V19" s="13"/>
      <c r="W19" s="13"/>
      <c r="X19" s="13"/>
      <c r="Y19" s="13"/>
      <c r="Z19" s="13"/>
      <c r="AA19" s="13"/>
      <c r="AB19" s="13"/>
      <c r="AC19" s="13"/>
      <c r="AD19" s="13"/>
      <c r="AE19" s="13"/>
      <c r="AF19" s="13"/>
      <c r="AG19" s="13"/>
    </row>
    <row r="20" spans="1:33" x14ac:dyDescent="0.2">
      <c r="A20" s="33"/>
      <c r="B20" s="33" t="s">
        <v>108</v>
      </c>
      <c r="C20" s="33"/>
      <c r="D20" s="33"/>
      <c r="E20" s="61">
        <v>1000</v>
      </c>
      <c r="F20" s="155">
        <f>E20*D12</f>
        <v>367.97752808988764</v>
      </c>
      <c r="G20" s="155">
        <f>E20*D13</f>
        <v>632.02247191011236</v>
      </c>
      <c r="H20" s="62" t="s">
        <v>232</v>
      </c>
      <c r="I20" s="197"/>
      <c r="J20" s="197"/>
      <c r="K20" s="197"/>
      <c r="L20" s="197"/>
      <c r="M20" s="197"/>
      <c r="N20" s="197"/>
      <c r="O20" s="197"/>
      <c r="P20" s="197"/>
      <c r="Q20" s="13"/>
      <c r="R20" s="13"/>
      <c r="S20" s="13"/>
      <c r="T20" s="13"/>
      <c r="U20" s="13"/>
      <c r="V20" s="13"/>
      <c r="W20" s="13"/>
      <c r="X20" s="13"/>
      <c r="Y20" s="13"/>
      <c r="Z20" s="13"/>
      <c r="AA20" s="13"/>
      <c r="AB20" s="13"/>
      <c r="AC20" s="13"/>
      <c r="AD20" s="13"/>
      <c r="AE20" s="13"/>
      <c r="AF20" s="13"/>
      <c r="AG20" s="13"/>
    </row>
    <row r="21" spans="1:33" x14ac:dyDescent="0.2">
      <c r="A21" s="33"/>
      <c r="B21" s="33" t="s">
        <v>114</v>
      </c>
      <c r="C21" s="33"/>
      <c r="D21" s="33"/>
      <c r="E21" s="61">
        <v>3000</v>
      </c>
      <c r="F21" s="155">
        <f>E21*D12</f>
        <v>1103.932584269663</v>
      </c>
      <c r="G21" s="155">
        <f>E21*D13</f>
        <v>1896.0674157303372</v>
      </c>
      <c r="H21" s="62" t="s">
        <v>232</v>
      </c>
      <c r="I21" s="197"/>
      <c r="J21" s="197"/>
      <c r="K21" s="197"/>
      <c r="L21" s="197"/>
      <c r="M21" s="197"/>
      <c r="N21" s="197"/>
      <c r="O21" s="197"/>
      <c r="P21" s="197"/>
      <c r="Q21" s="13"/>
      <c r="R21" s="13"/>
      <c r="S21" s="13"/>
      <c r="T21" s="13"/>
      <c r="U21" s="13"/>
      <c r="V21" s="13"/>
      <c r="W21" s="13"/>
      <c r="X21" s="13"/>
      <c r="Y21" s="13"/>
      <c r="Z21" s="13"/>
      <c r="AA21" s="13"/>
      <c r="AB21" s="13"/>
      <c r="AC21" s="13"/>
      <c r="AD21" s="13"/>
      <c r="AE21" s="13"/>
      <c r="AF21" s="13"/>
      <c r="AG21" s="13"/>
    </row>
    <row r="22" spans="1:33" x14ac:dyDescent="0.2">
      <c r="A22" s="33"/>
      <c r="B22" s="33" t="s">
        <v>198</v>
      </c>
      <c r="C22" s="33"/>
      <c r="D22" s="33" t="s">
        <v>171</v>
      </c>
      <c r="E22" s="61">
        <v>4000</v>
      </c>
      <c r="F22" s="155">
        <v>4000</v>
      </c>
      <c r="G22" s="155">
        <v>0</v>
      </c>
      <c r="H22" s="62" t="s">
        <v>216</v>
      </c>
      <c r="I22" s="197"/>
      <c r="J22" s="197"/>
      <c r="K22" s="197"/>
      <c r="L22" s="197"/>
      <c r="M22" s="197"/>
      <c r="N22" s="197"/>
      <c r="O22" s="197"/>
      <c r="P22" s="197"/>
      <c r="Q22" s="13"/>
      <c r="R22" s="13"/>
      <c r="S22" s="13"/>
      <c r="T22" s="13"/>
      <c r="U22" s="13"/>
      <c r="V22" s="13"/>
      <c r="W22" s="13"/>
      <c r="X22" s="13"/>
      <c r="Y22" s="13"/>
      <c r="Z22" s="13"/>
      <c r="AA22" s="13"/>
      <c r="AB22" s="13"/>
      <c r="AC22" s="13"/>
      <c r="AD22" s="13"/>
      <c r="AE22" s="13"/>
      <c r="AF22" s="13"/>
      <c r="AG22" s="13"/>
    </row>
    <row r="23" spans="1:33" x14ac:dyDescent="0.2">
      <c r="A23" s="33"/>
      <c r="B23" s="33" t="s">
        <v>109</v>
      </c>
      <c r="C23" s="33"/>
      <c r="D23" s="33" t="s">
        <v>171</v>
      </c>
      <c r="E23" s="61">
        <v>17000</v>
      </c>
      <c r="F23" s="155">
        <f>E23*D12</f>
        <v>6255.6179775280898</v>
      </c>
      <c r="G23" s="155">
        <f>E23*D13</f>
        <v>10744.382022471911</v>
      </c>
      <c r="H23" s="62" t="s">
        <v>232</v>
      </c>
      <c r="I23" s="197"/>
      <c r="J23" s="197"/>
      <c r="K23" s="197"/>
      <c r="L23" s="197"/>
      <c r="M23" s="197"/>
      <c r="N23" s="197"/>
      <c r="O23" s="197"/>
      <c r="P23" s="197"/>
      <c r="Q23" s="13"/>
      <c r="R23" s="13"/>
      <c r="S23" s="13"/>
      <c r="T23" s="13"/>
      <c r="U23" s="13"/>
      <c r="V23" s="13"/>
      <c r="W23" s="13"/>
      <c r="X23" s="13"/>
      <c r="Y23" s="13"/>
      <c r="Z23" s="13"/>
      <c r="AA23" s="13"/>
      <c r="AB23" s="13"/>
      <c r="AC23" s="13"/>
      <c r="AD23" s="13"/>
      <c r="AE23" s="13"/>
      <c r="AF23" s="13"/>
      <c r="AG23" s="13"/>
    </row>
    <row r="24" spans="1:33" x14ac:dyDescent="0.2">
      <c r="A24" s="33"/>
      <c r="B24" s="33" t="s">
        <v>122</v>
      </c>
      <c r="C24" s="33"/>
      <c r="D24" s="33" t="s">
        <v>171</v>
      </c>
      <c r="E24" s="61">
        <v>30000</v>
      </c>
      <c r="F24" s="155">
        <v>5000</v>
      </c>
      <c r="G24" s="155">
        <v>25000</v>
      </c>
      <c r="H24" s="62" t="s">
        <v>234</v>
      </c>
      <c r="I24" s="197"/>
      <c r="J24" s="197"/>
      <c r="K24" s="197"/>
      <c r="L24" s="197"/>
      <c r="M24" s="197"/>
      <c r="N24" s="197"/>
      <c r="O24" s="197"/>
      <c r="P24" s="197"/>
      <c r="Q24" s="13"/>
      <c r="R24" s="13"/>
      <c r="S24" s="13"/>
      <c r="T24" s="13"/>
      <c r="U24" s="13"/>
      <c r="V24" s="13"/>
      <c r="W24" s="13"/>
      <c r="X24" s="13"/>
      <c r="Y24" s="13"/>
      <c r="Z24" s="13"/>
      <c r="AA24" s="13"/>
      <c r="AB24" s="13"/>
      <c r="AC24" s="13"/>
      <c r="AD24" s="13"/>
      <c r="AE24" s="13"/>
      <c r="AF24" s="13"/>
      <c r="AG24" s="13"/>
    </row>
    <row r="25" spans="1:33" x14ac:dyDescent="0.2">
      <c r="A25" s="33"/>
      <c r="B25" s="33" t="s">
        <v>107</v>
      </c>
      <c r="C25" s="33"/>
      <c r="D25" s="33" t="s">
        <v>171</v>
      </c>
      <c r="E25" s="61">
        <v>4500</v>
      </c>
      <c r="F25" s="155">
        <f>E25*C8</f>
        <v>3103.4482758620693</v>
      </c>
      <c r="G25" s="155">
        <f>E25*C9</f>
        <v>1396.5517241379312</v>
      </c>
      <c r="H25" s="62" t="s">
        <v>233</v>
      </c>
      <c r="I25" s="197"/>
      <c r="J25" s="197"/>
      <c r="K25" s="197"/>
      <c r="L25" s="197"/>
      <c r="M25" s="197"/>
      <c r="N25" s="197"/>
      <c r="O25" s="197"/>
      <c r="P25" s="197"/>
      <c r="Q25" s="13"/>
      <c r="R25" s="13"/>
      <c r="S25" s="13"/>
      <c r="T25" s="13"/>
      <c r="U25" s="13"/>
      <c r="V25" s="13"/>
      <c r="W25" s="13"/>
      <c r="X25" s="13"/>
      <c r="Y25" s="13"/>
      <c r="Z25" s="13"/>
      <c r="AA25" s="13"/>
      <c r="AB25" s="13"/>
      <c r="AC25" s="13"/>
      <c r="AD25" s="13"/>
      <c r="AE25" s="13"/>
      <c r="AF25" s="13"/>
      <c r="AG25" s="13"/>
    </row>
    <row r="26" spans="1:33" x14ac:dyDescent="0.2">
      <c r="A26" s="33"/>
      <c r="B26" s="33" t="s">
        <v>85</v>
      </c>
      <c r="C26" s="33"/>
      <c r="D26" s="33" t="s">
        <v>171</v>
      </c>
      <c r="E26" s="61">
        <v>12000</v>
      </c>
      <c r="F26" s="155">
        <v>0</v>
      </c>
      <c r="G26" s="155">
        <v>12000</v>
      </c>
      <c r="H26" s="62" t="s">
        <v>234</v>
      </c>
      <c r="I26" s="197"/>
      <c r="J26" s="197"/>
      <c r="K26" s="197"/>
      <c r="L26" s="197"/>
      <c r="M26" s="197"/>
      <c r="N26" s="197"/>
      <c r="O26" s="197"/>
      <c r="P26" s="197"/>
      <c r="Q26" s="13"/>
      <c r="R26" s="13"/>
      <c r="S26" s="13"/>
      <c r="T26" s="13"/>
      <c r="U26" s="13"/>
      <c r="V26" s="13"/>
      <c r="W26" s="13"/>
      <c r="X26" s="13"/>
      <c r="Y26" s="13"/>
      <c r="Z26" s="13"/>
      <c r="AA26" s="13"/>
      <c r="AB26" s="13"/>
      <c r="AC26" s="13"/>
      <c r="AD26" s="13"/>
      <c r="AE26" s="13"/>
      <c r="AF26" s="13"/>
      <c r="AG26" s="13"/>
    </row>
    <row r="27" spans="1:33" x14ac:dyDescent="0.2">
      <c r="A27" s="33"/>
      <c r="B27" s="33" t="s">
        <v>140</v>
      </c>
      <c r="C27" s="33"/>
      <c r="D27" s="33" t="s">
        <v>171</v>
      </c>
      <c r="E27" s="61">
        <v>13000</v>
      </c>
      <c r="F27" s="155">
        <f>E27*D12</f>
        <v>4783.7078651685397</v>
      </c>
      <c r="G27" s="155">
        <f>E27*D13</f>
        <v>8216.2921348314612</v>
      </c>
      <c r="H27" s="62" t="s">
        <v>232</v>
      </c>
      <c r="I27" s="197"/>
      <c r="J27" s="197"/>
      <c r="K27" s="197"/>
      <c r="L27" s="197"/>
      <c r="M27" s="197"/>
      <c r="N27" s="197"/>
      <c r="O27" s="197"/>
      <c r="P27" s="197"/>
      <c r="Q27" s="13"/>
      <c r="R27" s="13"/>
      <c r="S27" s="13"/>
      <c r="T27" s="13"/>
      <c r="U27" s="13"/>
      <c r="V27" s="13"/>
      <c r="W27" s="13"/>
      <c r="X27" s="13"/>
      <c r="Y27" s="13"/>
      <c r="Z27" s="13"/>
      <c r="AA27" s="13"/>
      <c r="AB27" s="13"/>
      <c r="AC27" s="13"/>
      <c r="AD27" s="13"/>
      <c r="AE27" s="13"/>
      <c r="AF27" s="13"/>
      <c r="AG27" s="13"/>
    </row>
    <row r="28" spans="1:33" x14ac:dyDescent="0.2">
      <c r="A28" s="33"/>
      <c r="B28" s="33" t="s">
        <v>137</v>
      </c>
      <c r="C28" s="33"/>
      <c r="D28" s="33" t="s">
        <v>171</v>
      </c>
      <c r="E28" s="61">
        <v>2500</v>
      </c>
      <c r="F28" s="155">
        <v>1500</v>
      </c>
      <c r="G28" s="155">
        <v>1000</v>
      </c>
      <c r="H28" s="62" t="s">
        <v>233</v>
      </c>
      <c r="I28" s="197"/>
      <c r="J28" s="197"/>
      <c r="K28" s="197"/>
      <c r="L28" s="197"/>
      <c r="M28" s="197"/>
      <c r="N28" s="197"/>
      <c r="O28" s="197"/>
      <c r="P28" s="197"/>
      <c r="Q28" s="13"/>
      <c r="R28" s="13"/>
      <c r="S28" s="13"/>
      <c r="T28" s="13"/>
      <c r="U28" s="13"/>
      <c r="V28" s="13"/>
      <c r="W28" s="13"/>
      <c r="X28" s="13"/>
      <c r="Y28" s="13"/>
      <c r="Z28" s="13"/>
      <c r="AA28" s="13"/>
      <c r="AB28" s="13"/>
      <c r="AC28" s="13"/>
      <c r="AD28" s="13"/>
      <c r="AE28" s="13"/>
      <c r="AF28" s="13"/>
      <c r="AG28" s="13"/>
    </row>
    <row r="29" spans="1:33" x14ac:dyDescent="0.2">
      <c r="A29" s="33"/>
      <c r="B29" s="33" t="s">
        <v>57</v>
      </c>
      <c r="C29" s="33"/>
      <c r="D29" s="33" t="s">
        <v>171</v>
      </c>
      <c r="E29" s="61">
        <v>1100</v>
      </c>
      <c r="F29" s="155">
        <v>500</v>
      </c>
      <c r="G29" s="155">
        <v>600</v>
      </c>
      <c r="H29" s="62" t="s">
        <v>234</v>
      </c>
      <c r="I29" s="197"/>
      <c r="J29" s="197"/>
      <c r="K29" s="197"/>
      <c r="L29" s="197"/>
      <c r="M29" s="197"/>
      <c r="N29" s="197"/>
      <c r="O29" s="197"/>
      <c r="P29" s="197"/>
      <c r="Q29" s="13"/>
      <c r="R29" s="13"/>
      <c r="S29" s="13"/>
      <c r="T29" s="13"/>
      <c r="U29" s="13"/>
      <c r="V29" s="13"/>
      <c r="W29" s="13"/>
      <c r="X29" s="13"/>
      <c r="Y29" s="13"/>
      <c r="Z29" s="13"/>
      <c r="AA29" s="13"/>
      <c r="AB29" s="13"/>
      <c r="AC29" s="13"/>
      <c r="AD29" s="13"/>
      <c r="AE29" s="13"/>
      <c r="AF29" s="13"/>
      <c r="AG29" s="13"/>
    </row>
    <row r="30" spans="1:33" x14ac:dyDescent="0.2">
      <c r="A30" s="33"/>
      <c r="B30" s="33" t="s">
        <v>111</v>
      </c>
      <c r="C30" s="33"/>
      <c r="D30" s="33"/>
      <c r="E30" s="61"/>
      <c r="F30" s="155"/>
      <c r="G30" s="157"/>
      <c r="H30" s="62"/>
      <c r="I30" s="197"/>
      <c r="J30" s="197"/>
      <c r="K30" s="197"/>
      <c r="L30" s="197"/>
      <c r="M30" s="197"/>
      <c r="N30" s="197"/>
      <c r="O30" s="197"/>
      <c r="P30" s="197"/>
      <c r="Q30" s="13"/>
      <c r="R30" s="13"/>
      <c r="S30" s="13"/>
      <c r="T30" s="13"/>
      <c r="U30" s="13"/>
      <c r="V30" s="13"/>
      <c r="W30" s="13"/>
      <c r="X30" s="13"/>
      <c r="Y30" s="13"/>
      <c r="Z30" s="13"/>
      <c r="AA30" s="13"/>
      <c r="AB30" s="13"/>
      <c r="AC30" s="13"/>
      <c r="AD30" s="13"/>
      <c r="AE30" s="13"/>
      <c r="AF30" s="13"/>
      <c r="AG30" s="13"/>
    </row>
    <row r="31" spans="1:33" x14ac:dyDescent="0.2">
      <c r="A31" s="33"/>
      <c r="B31" s="33" t="s">
        <v>112</v>
      </c>
      <c r="C31" s="33"/>
      <c r="D31" s="33"/>
      <c r="E31" s="61">
        <v>500</v>
      </c>
      <c r="F31" s="155">
        <f>E31*C8</f>
        <v>344.82758620689657</v>
      </c>
      <c r="G31" s="155">
        <f>E31*C9</f>
        <v>155.17241379310346</v>
      </c>
      <c r="H31" s="62" t="s">
        <v>233</v>
      </c>
      <c r="I31" s="197"/>
      <c r="J31" s="197"/>
      <c r="K31" s="197"/>
      <c r="L31" s="197"/>
      <c r="M31" s="197"/>
      <c r="N31" s="197"/>
      <c r="O31" s="197"/>
      <c r="P31" s="197"/>
      <c r="Q31" s="13"/>
      <c r="R31" s="13"/>
      <c r="S31" s="13"/>
      <c r="T31" s="13"/>
      <c r="U31" s="13"/>
      <c r="V31" s="13"/>
      <c r="W31" s="13"/>
      <c r="X31" s="13"/>
      <c r="Y31" s="13"/>
      <c r="Z31" s="13"/>
      <c r="AA31" s="13"/>
      <c r="AB31" s="13"/>
      <c r="AC31" s="13"/>
      <c r="AD31" s="13"/>
      <c r="AE31" s="13"/>
      <c r="AF31" s="13"/>
      <c r="AG31" s="13"/>
    </row>
    <row r="32" spans="1:33" x14ac:dyDescent="0.2">
      <c r="A32" s="33"/>
      <c r="B32" s="33" t="s">
        <v>113</v>
      </c>
      <c r="C32" s="33"/>
      <c r="D32" s="33"/>
      <c r="E32" s="61">
        <v>6000</v>
      </c>
      <c r="F32" s="155">
        <f>E32*C8</f>
        <v>4137.9310344827591</v>
      </c>
      <c r="G32" s="155">
        <f>E32*C9</f>
        <v>1862.0689655172414</v>
      </c>
      <c r="H32" s="62" t="s">
        <v>233</v>
      </c>
      <c r="I32" s="197"/>
      <c r="J32" s="197"/>
      <c r="K32" s="197"/>
      <c r="L32" s="197"/>
      <c r="M32" s="197"/>
      <c r="N32" s="197"/>
      <c r="O32" s="197"/>
      <c r="P32" s="197"/>
      <c r="Q32" s="13"/>
      <c r="R32" s="13"/>
      <c r="S32" s="13"/>
      <c r="T32" s="13"/>
      <c r="U32" s="13"/>
      <c r="V32" s="13"/>
      <c r="W32" s="13"/>
      <c r="X32" s="13"/>
      <c r="Y32" s="13"/>
      <c r="Z32" s="13"/>
      <c r="AA32" s="13"/>
      <c r="AB32" s="13"/>
      <c r="AC32" s="13"/>
      <c r="AD32" s="13"/>
      <c r="AE32" s="13"/>
      <c r="AF32" s="13"/>
      <c r="AG32" s="13"/>
    </row>
    <row r="33" spans="1:33" x14ac:dyDescent="0.2">
      <c r="A33" s="33"/>
      <c r="B33" s="33" t="s">
        <v>55</v>
      </c>
      <c r="C33" s="33"/>
      <c r="D33" s="33"/>
      <c r="E33" s="61">
        <v>10500</v>
      </c>
      <c r="F33" s="155">
        <f>E33*D12</f>
        <v>3863.7640449438204</v>
      </c>
      <c r="G33" s="155">
        <f>E33*D13</f>
        <v>6636.2359550561805</v>
      </c>
      <c r="H33" s="62" t="s">
        <v>232</v>
      </c>
      <c r="I33" s="197"/>
      <c r="J33" s="197"/>
      <c r="K33" s="197"/>
      <c r="L33" s="197"/>
      <c r="M33" s="197"/>
      <c r="N33" s="197"/>
      <c r="O33" s="197"/>
      <c r="P33" s="197"/>
      <c r="Q33" s="13"/>
      <c r="R33" s="13"/>
      <c r="S33" s="13"/>
      <c r="T33" s="13"/>
      <c r="U33" s="13"/>
      <c r="V33" s="13"/>
      <c r="W33" s="13"/>
      <c r="X33" s="13"/>
      <c r="Y33" s="13"/>
      <c r="Z33" s="13"/>
      <c r="AA33" s="13"/>
      <c r="AB33" s="13"/>
      <c r="AC33" s="13"/>
      <c r="AD33" s="13"/>
      <c r="AE33" s="13"/>
      <c r="AF33" s="13"/>
      <c r="AG33" s="13"/>
    </row>
    <row r="34" spans="1:33" x14ac:dyDescent="0.2">
      <c r="A34" s="33"/>
      <c r="B34" s="33" t="s">
        <v>56</v>
      </c>
      <c r="C34" s="33"/>
      <c r="D34" s="33"/>
      <c r="E34" s="61">
        <f>F34+G34</f>
        <v>0</v>
      </c>
      <c r="F34" s="157"/>
      <c r="G34" s="157"/>
      <c r="H34" s="61"/>
      <c r="I34" s="197"/>
      <c r="J34" s="197"/>
      <c r="K34" s="197"/>
      <c r="L34" s="197"/>
      <c r="M34" s="197"/>
      <c r="N34" s="197"/>
      <c r="O34" s="197"/>
      <c r="P34" s="197"/>
      <c r="Q34" s="13"/>
      <c r="R34" s="13"/>
      <c r="S34" s="13"/>
      <c r="T34" s="13"/>
      <c r="U34" s="13"/>
      <c r="V34" s="13"/>
      <c r="W34" s="13"/>
      <c r="X34" s="13"/>
      <c r="Y34" s="13"/>
      <c r="Z34" s="13"/>
      <c r="AA34" s="13"/>
      <c r="AB34" s="13"/>
      <c r="AC34" s="13"/>
      <c r="AD34" s="13"/>
      <c r="AE34" s="13"/>
      <c r="AF34" s="13"/>
      <c r="AG34" s="13"/>
    </row>
    <row r="35" spans="1:33" x14ac:dyDescent="0.2">
      <c r="A35" s="33"/>
      <c r="B35" s="33" t="s">
        <v>83</v>
      </c>
      <c r="C35" s="33"/>
      <c r="D35" s="33"/>
      <c r="E35" s="61">
        <f>F35+G35</f>
        <v>0</v>
      </c>
      <c r="F35" s="155">
        <v>0</v>
      </c>
      <c r="G35" s="155">
        <v>0</v>
      </c>
      <c r="H35" s="62"/>
      <c r="I35" s="24"/>
      <c r="J35" s="24"/>
      <c r="K35" s="24"/>
      <c r="L35" s="24"/>
      <c r="M35" s="13"/>
      <c r="N35" s="13"/>
      <c r="O35" s="13"/>
      <c r="P35" s="13"/>
      <c r="Q35" s="13"/>
      <c r="R35" s="13"/>
      <c r="S35" s="13"/>
      <c r="T35" s="13"/>
      <c r="U35" s="13"/>
      <c r="V35" s="13"/>
      <c r="W35" s="13"/>
      <c r="X35" s="13"/>
      <c r="Y35" s="13"/>
      <c r="Z35" s="13"/>
      <c r="AA35" s="13"/>
      <c r="AB35" s="13"/>
      <c r="AC35" s="13"/>
      <c r="AD35" s="13"/>
      <c r="AE35" s="13"/>
      <c r="AF35" s="13"/>
      <c r="AG35" s="13"/>
    </row>
    <row r="36" spans="1:33" x14ac:dyDescent="0.2">
      <c r="A36" s="33"/>
      <c r="B36" s="33" t="s">
        <v>84</v>
      </c>
      <c r="C36" s="33"/>
      <c r="D36" s="33"/>
      <c r="E36" s="61">
        <v>2000</v>
      </c>
      <c r="F36" s="155">
        <f>E36*C8</f>
        <v>1379.3103448275863</v>
      </c>
      <c r="G36" s="155">
        <f>E36*C9</f>
        <v>620.68965517241384</v>
      </c>
      <c r="H36" s="62" t="s">
        <v>233</v>
      </c>
      <c r="I36" s="24"/>
      <c r="J36" s="24"/>
      <c r="K36" s="24"/>
      <c r="L36" s="24"/>
      <c r="M36" s="13"/>
      <c r="N36" s="13"/>
      <c r="O36" s="13"/>
      <c r="P36" s="13"/>
      <c r="Q36" s="13"/>
      <c r="R36" s="13"/>
      <c r="S36" s="13"/>
      <c r="T36" s="13"/>
      <c r="U36" s="13"/>
      <c r="V36" s="13"/>
      <c r="W36" s="13"/>
      <c r="X36" s="13"/>
      <c r="Y36" s="13"/>
      <c r="Z36" s="13"/>
      <c r="AA36" s="13"/>
      <c r="AB36" s="13"/>
      <c r="AC36" s="13"/>
      <c r="AD36" s="13"/>
      <c r="AE36" s="13"/>
      <c r="AF36" s="13"/>
      <c r="AG36" s="13"/>
    </row>
    <row r="37" spans="1:33" x14ac:dyDescent="0.2">
      <c r="A37" s="33"/>
      <c r="B37" s="33"/>
      <c r="C37" s="33"/>
      <c r="D37" s="33"/>
      <c r="E37" s="61"/>
      <c r="F37" s="155"/>
      <c r="G37" s="155"/>
      <c r="H37" s="62"/>
      <c r="I37" s="24"/>
      <c r="J37" s="24"/>
      <c r="K37" s="24"/>
      <c r="L37" s="24"/>
      <c r="M37" s="13"/>
      <c r="N37" s="13"/>
      <c r="O37" s="13"/>
      <c r="P37" s="13"/>
      <c r="Q37" s="13"/>
      <c r="R37" s="13"/>
      <c r="S37" s="13"/>
      <c r="T37" s="13"/>
      <c r="U37" s="13"/>
      <c r="V37" s="13"/>
      <c r="W37" s="13"/>
      <c r="X37" s="13"/>
      <c r="Y37" s="13"/>
      <c r="Z37" s="13"/>
      <c r="AA37" s="13"/>
      <c r="AB37" s="13"/>
      <c r="AC37" s="13"/>
      <c r="AD37" s="13"/>
      <c r="AE37" s="13"/>
      <c r="AF37" s="13"/>
      <c r="AG37" s="13"/>
    </row>
    <row r="38" spans="1:33" x14ac:dyDescent="0.2">
      <c r="A38" s="33"/>
      <c r="B38" s="33"/>
      <c r="C38" s="33"/>
      <c r="D38" s="33"/>
      <c r="E38" s="73">
        <f>SUM(E17:E37)</f>
        <v>138100</v>
      </c>
      <c r="F38" s="73">
        <f>SUM(F17:F37)</f>
        <v>53440.236342502911</v>
      </c>
      <c r="G38" s="73">
        <f>SUM(G17:G37)</f>
        <v>84659.763657497097</v>
      </c>
      <c r="H38" s="74"/>
      <c r="I38" s="24"/>
      <c r="J38" s="24"/>
      <c r="K38" s="24"/>
      <c r="L38" s="24"/>
      <c r="M38" s="13"/>
      <c r="N38" s="13"/>
      <c r="O38" s="13"/>
      <c r="P38" s="13"/>
      <c r="Q38" s="13"/>
      <c r="R38" s="13"/>
      <c r="S38" s="13"/>
      <c r="T38" s="13"/>
      <c r="U38" s="13"/>
      <c r="V38" s="13"/>
      <c r="W38" s="13"/>
      <c r="X38" s="13"/>
      <c r="Y38" s="13"/>
      <c r="Z38" s="13"/>
      <c r="AA38" s="13"/>
      <c r="AB38" s="13"/>
      <c r="AC38" s="13"/>
      <c r="AD38" s="13"/>
      <c r="AE38" s="13"/>
      <c r="AF38" s="13"/>
      <c r="AG38" s="13"/>
    </row>
    <row r="39" spans="1:33" x14ac:dyDescent="0.2">
      <c r="A39" s="75"/>
      <c r="B39" s="76"/>
      <c r="C39" s="76"/>
      <c r="D39" s="76"/>
      <c r="E39" s="76"/>
      <c r="F39" s="76"/>
      <c r="G39" s="76"/>
      <c r="H39" s="76"/>
      <c r="I39" s="24"/>
      <c r="J39" s="24"/>
      <c r="K39" s="24"/>
      <c r="L39" s="24"/>
      <c r="M39" s="13"/>
      <c r="N39" s="13"/>
      <c r="O39" s="13"/>
      <c r="P39" s="13"/>
      <c r="Q39" s="13"/>
      <c r="R39" s="13"/>
      <c r="S39" s="13"/>
      <c r="T39" s="13"/>
      <c r="U39" s="13"/>
      <c r="V39" s="13"/>
      <c r="W39" s="13"/>
      <c r="X39" s="13"/>
      <c r="Y39" s="13"/>
      <c r="Z39" s="13"/>
      <c r="AA39" s="13"/>
      <c r="AB39" s="13"/>
      <c r="AC39" s="13"/>
      <c r="AD39" s="13"/>
      <c r="AE39" s="13"/>
      <c r="AF39" s="13"/>
      <c r="AG39" s="13"/>
    </row>
    <row r="40" spans="1:33" x14ac:dyDescent="0.2">
      <c r="A40" s="75"/>
      <c r="B40" s="76"/>
      <c r="C40" s="76"/>
      <c r="D40" s="76"/>
      <c r="E40" s="76"/>
      <c r="F40" s="76"/>
      <c r="G40" s="76"/>
      <c r="H40" s="76"/>
      <c r="I40" s="24"/>
      <c r="J40" s="24"/>
      <c r="K40" s="24"/>
      <c r="L40" s="24"/>
      <c r="M40" s="13"/>
      <c r="N40" s="13"/>
      <c r="O40" s="13"/>
      <c r="P40" s="13"/>
      <c r="Q40" s="13"/>
      <c r="R40" s="13"/>
      <c r="S40" s="13"/>
      <c r="T40" s="13"/>
      <c r="U40" s="13"/>
      <c r="V40" s="13"/>
      <c r="W40" s="13"/>
      <c r="X40" s="13"/>
      <c r="Y40" s="13"/>
      <c r="Z40" s="13"/>
      <c r="AA40" s="13"/>
      <c r="AB40" s="13"/>
      <c r="AC40" s="13"/>
      <c r="AD40" s="13"/>
      <c r="AE40" s="13"/>
      <c r="AF40" s="13"/>
      <c r="AG40" s="13"/>
    </row>
    <row r="41" spans="1:33" x14ac:dyDescent="0.2">
      <c r="A41" s="22"/>
      <c r="B41" s="23"/>
      <c r="C41" s="23"/>
      <c r="D41" s="23"/>
      <c r="E41" s="23"/>
      <c r="F41" s="23"/>
      <c r="G41" s="23"/>
      <c r="H41" s="23"/>
      <c r="I41" s="24"/>
      <c r="J41" s="24"/>
      <c r="K41" s="24"/>
      <c r="L41" s="24"/>
      <c r="M41" s="13"/>
      <c r="N41" s="13"/>
      <c r="O41" s="13"/>
      <c r="P41" s="13"/>
      <c r="Q41" s="13"/>
      <c r="R41" s="13"/>
      <c r="S41" s="13"/>
      <c r="T41" s="13"/>
      <c r="U41" s="13"/>
      <c r="V41" s="13"/>
      <c r="W41" s="13"/>
      <c r="X41" s="13"/>
      <c r="Y41" s="13"/>
      <c r="Z41" s="13"/>
      <c r="AA41" s="13"/>
      <c r="AB41" s="13"/>
      <c r="AC41" s="13"/>
      <c r="AD41" s="13"/>
      <c r="AE41" s="13"/>
      <c r="AF41" s="13"/>
      <c r="AG41" s="13"/>
    </row>
    <row r="42" spans="1:33" x14ac:dyDescent="0.2">
      <c r="A42" s="22"/>
      <c r="B42" s="23"/>
      <c r="C42" s="23"/>
      <c r="D42" s="23"/>
      <c r="E42" s="23"/>
      <c r="F42" s="23"/>
      <c r="G42" s="23"/>
      <c r="H42" s="23"/>
      <c r="I42" s="24"/>
      <c r="J42" s="24"/>
      <c r="K42" s="24"/>
      <c r="L42" s="24"/>
      <c r="M42" s="13"/>
      <c r="N42" s="13"/>
      <c r="O42" s="13"/>
      <c r="P42" s="13"/>
      <c r="Q42" s="13"/>
      <c r="R42" s="13"/>
      <c r="S42" s="13"/>
      <c r="T42" s="13"/>
      <c r="U42" s="13"/>
      <c r="V42" s="13"/>
      <c r="W42" s="13"/>
      <c r="X42" s="13"/>
      <c r="Y42" s="13"/>
      <c r="Z42" s="13"/>
      <c r="AA42" s="13"/>
      <c r="AB42" s="13"/>
      <c r="AC42" s="13"/>
      <c r="AD42" s="13"/>
      <c r="AE42" s="13"/>
      <c r="AF42" s="13"/>
      <c r="AG42" s="13"/>
    </row>
    <row r="43" spans="1:33" x14ac:dyDescent="0.2">
      <c r="A43" s="22"/>
      <c r="B43" s="23"/>
      <c r="C43" s="23"/>
      <c r="D43" s="23"/>
      <c r="E43" s="23"/>
      <c r="F43" s="23"/>
      <c r="G43" s="23"/>
      <c r="H43" s="23"/>
      <c r="I43" s="24"/>
      <c r="J43" s="24"/>
      <c r="K43" s="24"/>
      <c r="L43" s="24"/>
      <c r="M43" s="13"/>
      <c r="N43" s="13"/>
      <c r="O43" s="13"/>
      <c r="P43" s="13"/>
      <c r="Q43" s="13"/>
      <c r="R43" s="13"/>
      <c r="S43" s="13"/>
      <c r="T43" s="13"/>
      <c r="U43" s="13"/>
      <c r="V43" s="13"/>
      <c r="W43" s="13"/>
      <c r="X43" s="13"/>
      <c r="Y43" s="13"/>
      <c r="Z43" s="13"/>
      <c r="AA43" s="13"/>
      <c r="AB43" s="13"/>
      <c r="AC43" s="13"/>
      <c r="AD43" s="13"/>
      <c r="AE43" s="13"/>
      <c r="AF43" s="13"/>
      <c r="AG43" s="13"/>
    </row>
    <row r="44" spans="1:33" x14ac:dyDescent="0.2">
      <c r="A44" s="22"/>
      <c r="B44" s="23"/>
      <c r="C44" s="23"/>
      <c r="D44" s="23"/>
      <c r="E44" s="23"/>
      <c r="F44" s="23"/>
      <c r="G44" s="23"/>
      <c r="H44" s="23"/>
      <c r="I44" s="24"/>
      <c r="J44" s="24"/>
      <c r="K44" s="24"/>
      <c r="L44" s="24"/>
      <c r="M44" s="13"/>
      <c r="N44" s="13"/>
      <c r="O44" s="13"/>
      <c r="P44" s="13"/>
      <c r="Q44" s="13"/>
      <c r="R44" s="13"/>
      <c r="S44" s="13"/>
      <c r="T44" s="13"/>
      <c r="U44" s="13"/>
      <c r="V44" s="13"/>
      <c r="W44" s="13"/>
      <c r="X44" s="13"/>
      <c r="Y44" s="13"/>
      <c r="Z44" s="13"/>
      <c r="AA44" s="13"/>
      <c r="AB44" s="13"/>
      <c r="AC44" s="13"/>
      <c r="AD44" s="13"/>
      <c r="AE44" s="13"/>
      <c r="AF44" s="13"/>
      <c r="AG44" s="13"/>
    </row>
    <row r="45" spans="1:33" x14ac:dyDescent="0.2">
      <c r="A45" s="22"/>
      <c r="B45" s="23"/>
      <c r="C45" s="23"/>
      <c r="D45" s="23"/>
      <c r="E45" s="23"/>
      <c r="F45" s="23"/>
      <c r="G45" s="23"/>
      <c r="H45" s="23"/>
      <c r="I45" s="24"/>
      <c r="J45" s="24"/>
      <c r="K45" s="24"/>
      <c r="L45" s="24"/>
      <c r="M45" s="13"/>
      <c r="N45" s="13"/>
      <c r="O45" s="13"/>
      <c r="P45" s="13"/>
      <c r="Q45" s="13"/>
      <c r="R45" s="13"/>
      <c r="S45" s="13"/>
      <c r="T45" s="13"/>
      <c r="U45" s="13"/>
      <c r="V45" s="13"/>
      <c r="W45" s="13"/>
      <c r="X45" s="13"/>
      <c r="Y45" s="13"/>
      <c r="Z45" s="13"/>
      <c r="AA45" s="13"/>
      <c r="AB45" s="13"/>
      <c r="AC45" s="13"/>
      <c r="AD45" s="13"/>
      <c r="AE45" s="13"/>
      <c r="AF45" s="13"/>
      <c r="AG45" s="13"/>
    </row>
    <row r="46" spans="1:33" x14ac:dyDescent="0.2">
      <c r="A46" s="22"/>
      <c r="B46" s="23"/>
      <c r="C46" s="23"/>
      <c r="D46" s="23"/>
      <c r="E46" s="23"/>
      <c r="F46" s="23"/>
      <c r="G46" s="23"/>
      <c r="H46" s="23"/>
      <c r="I46" s="24"/>
      <c r="J46" s="24"/>
      <c r="K46" s="24"/>
      <c r="L46" s="24"/>
      <c r="M46" s="13"/>
      <c r="N46" s="13"/>
      <c r="O46" s="13"/>
      <c r="P46" s="13"/>
      <c r="Q46" s="13"/>
      <c r="R46" s="13"/>
      <c r="S46" s="13"/>
      <c r="T46" s="13"/>
      <c r="U46" s="13"/>
      <c r="V46" s="13"/>
      <c r="W46" s="13"/>
      <c r="X46" s="13"/>
      <c r="Y46" s="13"/>
      <c r="Z46" s="13"/>
      <c r="AA46" s="13"/>
      <c r="AB46" s="13"/>
      <c r="AC46" s="13"/>
      <c r="AD46" s="13"/>
      <c r="AE46" s="13"/>
      <c r="AF46" s="13"/>
      <c r="AG46" s="13"/>
    </row>
    <row r="47" spans="1:33" x14ac:dyDescent="0.2">
      <c r="A47" s="22"/>
      <c r="B47" s="23"/>
      <c r="C47" s="23"/>
      <c r="D47" s="23"/>
      <c r="E47" s="23"/>
      <c r="F47" s="23"/>
      <c r="G47" s="23"/>
      <c r="H47" s="23"/>
      <c r="I47" s="24"/>
      <c r="J47" s="24"/>
      <c r="K47" s="24"/>
      <c r="L47" s="24"/>
      <c r="M47" s="13"/>
      <c r="N47" s="13"/>
      <c r="O47" s="13"/>
      <c r="P47" s="13"/>
      <c r="Q47" s="13"/>
      <c r="R47" s="13"/>
      <c r="S47" s="13"/>
      <c r="T47" s="13"/>
      <c r="U47" s="13"/>
      <c r="V47" s="13"/>
      <c r="W47" s="13"/>
      <c r="X47" s="13"/>
      <c r="Y47" s="13"/>
      <c r="Z47" s="13"/>
      <c r="AA47" s="13"/>
      <c r="AB47" s="13"/>
      <c r="AC47" s="13"/>
      <c r="AD47" s="13"/>
      <c r="AE47" s="13"/>
      <c r="AF47" s="13"/>
      <c r="AG47" s="13"/>
    </row>
    <row r="48" spans="1:33" x14ac:dyDescent="0.2">
      <c r="A48" s="22"/>
      <c r="B48" s="23"/>
      <c r="C48" s="23"/>
      <c r="D48" s="23"/>
      <c r="E48" s="23"/>
      <c r="F48" s="23"/>
      <c r="G48" s="23"/>
      <c r="H48" s="23"/>
      <c r="I48" s="24"/>
      <c r="J48" s="24"/>
      <c r="K48" s="24"/>
      <c r="L48" s="24"/>
      <c r="M48" s="13"/>
      <c r="N48" s="13"/>
      <c r="O48" s="13"/>
      <c r="P48" s="13"/>
      <c r="Q48" s="13"/>
      <c r="R48" s="13"/>
      <c r="S48" s="13"/>
      <c r="T48" s="13"/>
      <c r="U48" s="13"/>
      <c r="V48" s="13"/>
      <c r="W48" s="13"/>
      <c r="X48" s="13"/>
      <c r="Y48" s="13"/>
      <c r="Z48" s="13"/>
      <c r="AA48" s="13"/>
      <c r="AB48" s="13"/>
      <c r="AC48" s="13"/>
      <c r="AD48" s="13"/>
      <c r="AE48" s="13"/>
      <c r="AF48" s="13"/>
      <c r="AG48" s="13"/>
    </row>
    <row r="49" spans="1:33" x14ac:dyDescent="0.2">
      <c r="A49" s="22"/>
      <c r="B49" s="23"/>
      <c r="C49" s="23"/>
      <c r="D49" s="23"/>
      <c r="E49" s="23"/>
      <c r="F49" s="23"/>
      <c r="G49" s="23"/>
      <c r="H49" s="23"/>
      <c r="I49" s="24"/>
      <c r="J49" s="24"/>
      <c r="K49" s="24"/>
      <c r="L49" s="24"/>
      <c r="M49" s="13"/>
      <c r="N49" s="13"/>
      <c r="O49" s="13"/>
      <c r="P49" s="13"/>
      <c r="Q49" s="13"/>
      <c r="R49" s="13"/>
      <c r="S49" s="13"/>
      <c r="T49" s="13"/>
      <c r="U49" s="13"/>
      <c r="V49" s="13"/>
      <c r="W49" s="13"/>
      <c r="X49" s="13"/>
      <c r="Y49" s="13"/>
      <c r="Z49" s="13"/>
      <c r="AA49" s="13"/>
      <c r="AB49" s="13"/>
      <c r="AC49" s="13"/>
      <c r="AD49" s="13"/>
      <c r="AE49" s="13"/>
      <c r="AF49" s="13"/>
      <c r="AG49" s="13"/>
    </row>
    <row r="50" spans="1:33" x14ac:dyDescent="0.2">
      <c r="A50" s="22"/>
      <c r="B50" s="23"/>
      <c r="C50" s="25"/>
      <c r="D50" s="25"/>
      <c r="E50" s="25"/>
      <c r="F50" s="25"/>
      <c r="G50" s="25"/>
      <c r="H50" s="23"/>
      <c r="I50" s="24"/>
      <c r="J50" s="24"/>
      <c r="K50" s="24"/>
      <c r="L50" s="24"/>
      <c r="M50" s="13"/>
      <c r="N50" s="13"/>
      <c r="O50" s="13"/>
      <c r="P50" s="13"/>
      <c r="Q50" s="13"/>
      <c r="R50" s="13"/>
      <c r="S50" s="13"/>
      <c r="T50" s="13"/>
      <c r="U50" s="13"/>
      <c r="V50" s="13"/>
      <c r="W50" s="13"/>
      <c r="X50" s="13"/>
      <c r="Y50" s="13"/>
      <c r="Z50" s="13"/>
      <c r="AA50" s="13"/>
      <c r="AB50" s="13"/>
      <c r="AC50" s="13"/>
      <c r="AD50" s="13"/>
      <c r="AE50" s="13"/>
      <c r="AF50" s="13"/>
      <c r="AG50" s="13"/>
    </row>
    <row r="51" spans="1:33" x14ac:dyDescent="0.2">
      <c r="A51" s="22"/>
      <c r="B51" s="23"/>
      <c r="C51" s="25"/>
      <c r="D51" s="25"/>
      <c r="E51" s="25"/>
      <c r="F51" s="25"/>
      <c r="G51" s="25"/>
      <c r="H51" s="23"/>
      <c r="I51" s="24"/>
      <c r="J51" s="24"/>
      <c r="K51" s="24"/>
      <c r="L51" s="24"/>
      <c r="M51" s="13"/>
      <c r="N51" s="13"/>
      <c r="O51" s="13"/>
      <c r="P51" s="13"/>
      <c r="Q51" s="13"/>
      <c r="R51" s="13"/>
      <c r="S51" s="13"/>
      <c r="T51" s="13"/>
      <c r="U51" s="13"/>
      <c r="V51" s="13"/>
      <c r="W51" s="13"/>
      <c r="X51" s="13"/>
      <c r="Y51" s="13"/>
      <c r="Z51" s="13"/>
      <c r="AA51" s="13"/>
      <c r="AB51" s="13"/>
      <c r="AC51" s="13"/>
      <c r="AD51" s="13"/>
      <c r="AE51" s="13"/>
      <c r="AF51" s="13"/>
      <c r="AG51" s="13"/>
    </row>
    <row r="52" spans="1:33" x14ac:dyDescent="0.2">
      <c r="A52" s="22"/>
      <c r="B52" s="23"/>
      <c r="C52" s="23"/>
      <c r="D52" s="23"/>
      <c r="E52" s="23"/>
      <c r="F52" s="23"/>
      <c r="G52" s="23"/>
      <c r="H52" s="23"/>
      <c r="I52" s="24"/>
      <c r="J52" s="24"/>
      <c r="K52" s="24"/>
      <c r="L52" s="24"/>
      <c r="M52" s="13"/>
      <c r="N52" s="13"/>
      <c r="O52" s="13"/>
      <c r="P52" s="13"/>
      <c r="Q52" s="13"/>
      <c r="R52" s="13"/>
      <c r="S52" s="13"/>
      <c r="T52" s="13"/>
      <c r="U52" s="13"/>
      <c r="V52" s="13"/>
      <c r="W52" s="13"/>
      <c r="X52" s="13"/>
      <c r="Y52" s="13"/>
      <c r="Z52" s="13"/>
      <c r="AA52" s="13"/>
      <c r="AB52" s="13"/>
      <c r="AC52" s="13"/>
      <c r="AD52" s="13"/>
      <c r="AE52" s="13"/>
      <c r="AF52" s="13"/>
      <c r="AG52" s="13"/>
    </row>
    <row r="53" spans="1:33" x14ac:dyDescent="0.2">
      <c r="A53" s="22"/>
      <c r="B53" s="23"/>
      <c r="C53" s="25"/>
      <c r="D53" s="25"/>
      <c r="E53" s="25"/>
      <c r="F53" s="25"/>
      <c r="G53" s="25"/>
      <c r="H53" s="23"/>
      <c r="I53" s="24"/>
      <c r="J53" s="24"/>
      <c r="K53" s="24"/>
      <c r="L53" s="24"/>
      <c r="M53" s="13"/>
      <c r="N53" s="13"/>
      <c r="O53" s="13"/>
      <c r="P53" s="13"/>
      <c r="Q53" s="13"/>
      <c r="R53" s="13"/>
      <c r="S53" s="13"/>
      <c r="T53" s="13"/>
      <c r="U53" s="13"/>
      <c r="V53" s="13"/>
      <c r="W53" s="13"/>
      <c r="X53" s="13"/>
      <c r="Y53" s="13"/>
      <c r="Z53" s="13"/>
      <c r="AA53" s="13"/>
      <c r="AB53" s="13"/>
      <c r="AC53" s="13"/>
      <c r="AD53" s="13"/>
      <c r="AE53" s="13"/>
      <c r="AF53" s="13"/>
      <c r="AG53" s="13"/>
    </row>
    <row r="54" spans="1:33" x14ac:dyDescent="0.2">
      <c r="A54" s="22"/>
      <c r="B54" s="23"/>
      <c r="C54" s="23"/>
      <c r="D54" s="23"/>
      <c r="E54" s="23"/>
      <c r="F54" s="23"/>
      <c r="G54" s="23"/>
      <c r="H54" s="23"/>
      <c r="I54" s="24"/>
      <c r="J54" s="24"/>
      <c r="K54" s="24"/>
      <c r="L54" s="24"/>
      <c r="M54" s="13"/>
      <c r="N54" s="13"/>
      <c r="O54" s="13"/>
      <c r="P54" s="13"/>
      <c r="Q54" s="13"/>
      <c r="R54" s="13"/>
      <c r="S54" s="13"/>
      <c r="T54" s="13"/>
      <c r="U54" s="13"/>
      <c r="V54" s="13"/>
      <c r="W54" s="13"/>
      <c r="X54" s="13"/>
      <c r="Y54" s="13"/>
      <c r="Z54" s="13"/>
      <c r="AA54" s="13"/>
      <c r="AB54" s="13"/>
      <c r="AC54" s="13"/>
      <c r="AD54" s="13"/>
      <c r="AE54" s="13"/>
      <c r="AF54" s="13"/>
      <c r="AG54" s="13"/>
    </row>
    <row r="55" spans="1:33" x14ac:dyDescent="0.2">
      <c r="A55" s="22"/>
      <c r="B55" s="23"/>
      <c r="C55" s="23"/>
      <c r="D55" s="23"/>
      <c r="E55" s="23"/>
      <c r="F55" s="23"/>
      <c r="G55" s="23"/>
      <c r="H55" s="23"/>
      <c r="I55" s="24"/>
      <c r="J55" s="24"/>
      <c r="K55" s="24"/>
      <c r="L55" s="24"/>
      <c r="M55" s="13"/>
      <c r="N55" s="13"/>
      <c r="O55" s="13"/>
      <c r="P55" s="13"/>
      <c r="Q55" s="13"/>
      <c r="R55" s="13"/>
      <c r="S55" s="13"/>
      <c r="T55" s="13"/>
      <c r="U55" s="13"/>
      <c r="V55" s="13"/>
      <c r="W55" s="13"/>
      <c r="X55" s="13"/>
      <c r="Y55" s="13"/>
      <c r="Z55" s="13"/>
      <c r="AA55" s="13"/>
      <c r="AB55" s="13"/>
      <c r="AC55" s="13"/>
      <c r="AD55" s="13"/>
      <c r="AE55" s="13"/>
      <c r="AF55" s="13"/>
      <c r="AG55" s="13"/>
    </row>
    <row r="56" spans="1:33" x14ac:dyDescent="0.2">
      <c r="A56" s="22"/>
      <c r="B56" s="23"/>
      <c r="C56" s="23"/>
      <c r="D56" s="23"/>
      <c r="E56" s="23"/>
      <c r="F56" s="23"/>
      <c r="G56" s="23"/>
      <c r="H56" s="23"/>
      <c r="I56" s="24"/>
      <c r="J56" s="24"/>
      <c r="K56" s="24"/>
      <c r="L56" s="24"/>
      <c r="M56" s="13"/>
      <c r="N56" s="13"/>
      <c r="O56" s="13"/>
      <c r="P56" s="13"/>
      <c r="Q56" s="13"/>
      <c r="R56" s="13"/>
      <c r="S56" s="13"/>
      <c r="T56" s="13"/>
      <c r="U56" s="13"/>
      <c r="V56" s="13"/>
      <c r="W56" s="13"/>
      <c r="X56" s="13"/>
      <c r="Y56" s="13"/>
      <c r="Z56" s="13"/>
      <c r="AA56" s="13"/>
      <c r="AB56" s="13"/>
      <c r="AC56" s="13"/>
      <c r="AD56" s="13"/>
      <c r="AE56" s="13"/>
      <c r="AF56" s="13"/>
      <c r="AG56" s="13"/>
    </row>
    <row r="57" spans="1:33" x14ac:dyDescent="0.2">
      <c r="A57" s="22"/>
      <c r="B57" s="23"/>
      <c r="C57" s="23"/>
      <c r="D57" s="23"/>
      <c r="E57" s="23"/>
      <c r="F57" s="23"/>
      <c r="G57" s="23"/>
      <c r="H57" s="23"/>
      <c r="I57" s="24"/>
      <c r="J57" s="24"/>
      <c r="K57" s="24"/>
      <c r="L57" s="24"/>
      <c r="M57" s="13"/>
      <c r="N57" s="13"/>
      <c r="O57" s="13"/>
      <c r="P57" s="13"/>
      <c r="Q57" s="13"/>
      <c r="R57" s="13"/>
      <c r="S57" s="13"/>
      <c r="T57" s="13"/>
      <c r="U57" s="13"/>
      <c r="V57" s="13"/>
      <c r="W57" s="13"/>
      <c r="X57" s="13"/>
      <c r="Y57" s="13"/>
      <c r="Z57" s="13"/>
      <c r="AA57" s="13"/>
      <c r="AB57" s="13"/>
      <c r="AC57" s="13"/>
      <c r="AD57" s="13"/>
      <c r="AE57" s="13"/>
      <c r="AF57" s="13"/>
      <c r="AG57" s="13"/>
    </row>
    <row r="58" spans="1:33" x14ac:dyDescent="0.2">
      <c r="A58" s="22"/>
      <c r="B58" s="23"/>
      <c r="C58" s="23"/>
      <c r="D58" s="23"/>
      <c r="E58" s="23"/>
      <c r="F58" s="23"/>
      <c r="G58" s="23"/>
      <c r="H58" s="23"/>
      <c r="I58" s="24"/>
      <c r="J58" s="24"/>
      <c r="K58" s="24"/>
      <c r="L58" s="24"/>
      <c r="M58" s="13"/>
      <c r="N58" s="13"/>
      <c r="O58" s="13"/>
      <c r="P58" s="13"/>
      <c r="Q58" s="13"/>
      <c r="R58" s="13"/>
      <c r="S58" s="13"/>
      <c r="T58" s="13"/>
      <c r="U58" s="13"/>
      <c r="V58" s="13"/>
      <c r="W58" s="13"/>
      <c r="X58" s="13"/>
      <c r="Y58" s="13"/>
      <c r="Z58" s="13"/>
      <c r="AA58" s="13"/>
      <c r="AB58" s="13"/>
      <c r="AC58" s="13"/>
      <c r="AD58" s="13"/>
      <c r="AE58" s="13"/>
      <c r="AF58" s="13"/>
      <c r="AG58" s="13"/>
    </row>
    <row r="59" spans="1:33" x14ac:dyDescent="0.2">
      <c r="A59" s="22"/>
      <c r="B59" s="23"/>
      <c r="C59" s="23"/>
      <c r="D59" s="23"/>
      <c r="E59" s="23"/>
      <c r="F59" s="23"/>
      <c r="G59" s="23"/>
      <c r="H59" s="23"/>
      <c r="I59" s="24"/>
      <c r="J59" s="24"/>
      <c r="K59" s="24"/>
      <c r="L59" s="24"/>
      <c r="M59" s="13"/>
      <c r="N59" s="13"/>
      <c r="O59" s="13"/>
      <c r="P59" s="13"/>
      <c r="Q59" s="13"/>
      <c r="R59" s="13"/>
      <c r="S59" s="13"/>
      <c r="T59" s="13"/>
      <c r="U59" s="13"/>
      <c r="V59" s="13"/>
      <c r="W59" s="13"/>
      <c r="X59" s="13"/>
      <c r="Y59" s="13"/>
      <c r="Z59" s="13"/>
      <c r="AA59" s="13"/>
      <c r="AB59" s="13"/>
      <c r="AC59" s="13"/>
      <c r="AD59" s="13"/>
      <c r="AE59" s="13"/>
      <c r="AF59" s="13"/>
      <c r="AG59" s="13"/>
    </row>
    <row r="60" spans="1:33" x14ac:dyDescent="0.2">
      <c r="A60" s="22"/>
      <c r="B60" s="23"/>
      <c r="C60" s="23"/>
      <c r="D60" s="23"/>
      <c r="E60" s="23"/>
      <c r="F60" s="23"/>
      <c r="G60" s="23"/>
      <c r="H60" s="23"/>
      <c r="I60" s="24"/>
      <c r="J60" s="24"/>
      <c r="K60" s="24"/>
      <c r="L60" s="24"/>
      <c r="M60" s="13"/>
      <c r="N60" s="13"/>
      <c r="O60" s="13"/>
      <c r="P60" s="13"/>
      <c r="Q60" s="13"/>
      <c r="R60" s="13"/>
      <c r="S60" s="13"/>
      <c r="T60" s="13"/>
      <c r="U60" s="13"/>
      <c r="V60" s="13"/>
      <c r="W60" s="13"/>
      <c r="X60" s="13"/>
      <c r="Y60" s="13"/>
      <c r="Z60" s="13"/>
      <c r="AA60" s="13"/>
      <c r="AB60" s="13"/>
      <c r="AC60" s="13"/>
      <c r="AD60" s="13"/>
      <c r="AE60" s="13"/>
      <c r="AF60" s="13"/>
      <c r="AG60" s="13"/>
    </row>
    <row r="61" spans="1:33" x14ac:dyDescent="0.2">
      <c r="A61" s="22"/>
      <c r="B61" s="23"/>
      <c r="C61" s="23"/>
      <c r="D61" s="23"/>
      <c r="E61" s="23"/>
      <c r="F61" s="23"/>
      <c r="G61" s="23"/>
      <c r="H61" s="23"/>
      <c r="I61" s="24"/>
      <c r="J61" s="24"/>
      <c r="K61" s="24"/>
      <c r="L61" s="24"/>
      <c r="M61" s="13"/>
      <c r="N61" s="13"/>
      <c r="O61" s="13"/>
      <c r="P61" s="13"/>
      <c r="Q61" s="13"/>
      <c r="R61" s="13"/>
      <c r="S61" s="13"/>
      <c r="T61" s="13"/>
      <c r="U61" s="13"/>
      <c r="V61" s="13"/>
      <c r="W61" s="13"/>
      <c r="X61" s="13"/>
      <c r="Y61" s="13"/>
      <c r="Z61" s="13"/>
      <c r="AA61" s="13"/>
      <c r="AB61" s="13"/>
      <c r="AC61" s="13"/>
      <c r="AD61" s="13"/>
      <c r="AE61" s="13"/>
      <c r="AF61" s="13"/>
      <c r="AG61" s="13"/>
    </row>
    <row r="62" spans="1:33" x14ac:dyDescent="0.2">
      <c r="A62" s="22"/>
      <c r="B62" s="23"/>
      <c r="C62" s="23"/>
      <c r="D62" s="23"/>
      <c r="E62" s="23"/>
      <c r="F62" s="23"/>
      <c r="G62" s="23"/>
      <c r="H62" s="23"/>
      <c r="I62" s="24"/>
      <c r="J62" s="24"/>
      <c r="K62" s="24"/>
      <c r="L62" s="24"/>
      <c r="M62" s="13"/>
      <c r="N62" s="13"/>
      <c r="O62" s="13"/>
      <c r="P62" s="13"/>
      <c r="Q62" s="13"/>
      <c r="R62" s="13"/>
      <c r="S62" s="13"/>
      <c r="T62" s="13"/>
      <c r="U62" s="13"/>
      <c r="V62" s="13"/>
      <c r="W62" s="13"/>
      <c r="X62" s="13"/>
      <c r="Y62" s="13"/>
      <c r="Z62" s="13"/>
      <c r="AA62" s="13"/>
      <c r="AB62" s="13"/>
      <c r="AC62" s="13"/>
      <c r="AD62" s="13"/>
      <c r="AE62" s="13"/>
      <c r="AF62" s="13"/>
      <c r="AG62" s="13"/>
    </row>
    <row r="63" spans="1:33" x14ac:dyDescent="0.2">
      <c r="A63" s="22"/>
      <c r="B63" s="23"/>
      <c r="C63" s="23"/>
      <c r="D63" s="23"/>
      <c r="E63" s="23"/>
      <c r="F63" s="23"/>
      <c r="G63" s="23"/>
      <c r="H63" s="23"/>
      <c r="I63" s="24"/>
      <c r="J63" s="24"/>
      <c r="K63" s="24"/>
      <c r="L63" s="24"/>
      <c r="M63" s="13"/>
      <c r="N63" s="13"/>
      <c r="O63" s="13"/>
      <c r="P63" s="13"/>
      <c r="Q63" s="13"/>
      <c r="R63" s="13"/>
      <c r="S63" s="13"/>
      <c r="T63" s="13"/>
      <c r="U63" s="13"/>
      <c r="V63" s="13"/>
      <c r="W63" s="13"/>
      <c r="X63" s="13"/>
      <c r="Y63" s="13"/>
      <c r="Z63" s="13"/>
      <c r="AA63" s="13"/>
      <c r="AB63" s="13"/>
      <c r="AC63" s="13"/>
      <c r="AD63" s="13"/>
      <c r="AE63" s="13"/>
      <c r="AF63" s="13"/>
      <c r="AG63" s="13"/>
    </row>
    <row r="64" spans="1:33" x14ac:dyDescent="0.2">
      <c r="A64" s="22"/>
      <c r="B64" s="23"/>
      <c r="C64" s="23"/>
      <c r="D64" s="23"/>
      <c r="E64" s="23"/>
      <c r="F64" s="23"/>
      <c r="G64" s="23"/>
      <c r="H64" s="23"/>
      <c r="I64" s="24"/>
      <c r="J64" s="24"/>
      <c r="K64" s="24"/>
      <c r="L64" s="24"/>
      <c r="M64" s="13"/>
      <c r="N64" s="13"/>
      <c r="O64" s="13"/>
      <c r="P64" s="13"/>
      <c r="Q64" s="13"/>
      <c r="R64" s="13"/>
      <c r="S64" s="13"/>
      <c r="T64" s="13"/>
      <c r="U64" s="13"/>
      <c r="V64" s="13"/>
      <c r="W64" s="13"/>
      <c r="X64" s="13"/>
      <c r="Y64" s="13"/>
      <c r="Z64" s="13"/>
      <c r="AA64" s="13"/>
      <c r="AB64" s="13"/>
      <c r="AC64" s="13"/>
      <c r="AD64" s="13"/>
      <c r="AE64" s="13"/>
      <c r="AF64" s="13"/>
      <c r="AG64" s="13"/>
    </row>
    <row r="65" spans="1:33" x14ac:dyDescent="0.2">
      <c r="A65" s="22"/>
      <c r="B65" s="23"/>
      <c r="C65" s="23"/>
      <c r="D65" s="23"/>
      <c r="E65" s="23"/>
      <c r="F65" s="23"/>
      <c r="G65" s="23"/>
      <c r="H65" s="23"/>
      <c r="I65" s="24"/>
      <c r="J65" s="24"/>
      <c r="K65" s="24"/>
      <c r="L65" s="24"/>
      <c r="M65" s="13"/>
      <c r="N65" s="13"/>
      <c r="O65" s="13"/>
      <c r="P65" s="13"/>
      <c r="Q65" s="13"/>
      <c r="R65" s="13"/>
      <c r="S65" s="13"/>
      <c r="T65" s="13"/>
      <c r="U65" s="13"/>
      <c r="V65" s="13"/>
      <c r="W65" s="13"/>
      <c r="X65" s="13"/>
      <c r="Y65" s="13"/>
      <c r="Z65" s="13"/>
      <c r="AA65" s="13"/>
      <c r="AB65" s="13"/>
      <c r="AC65" s="13"/>
      <c r="AD65" s="13"/>
      <c r="AE65" s="13"/>
      <c r="AF65" s="13"/>
      <c r="AG65" s="13"/>
    </row>
    <row r="66" spans="1:33" x14ac:dyDescent="0.2">
      <c r="A66" s="22"/>
      <c r="B66" s="23"/>
      <c r="C66" s="23"/>
      <c r="D66" s="23"/>
      <c r="E66" s="23"/>
      <c r="F66" s="23"/>
      <c r="G66" s="23"/>
      <c r="H66" s="23"/>
      <c r="I66" s="24"/>
      <c r="J66" s="24"/>
      <c r="K66" s="24"/>
      <c r="L66" s="24"/>
      <c r="M66" s="13"/>
      <c r="N66" s="13"/>
      <c r="O66" s="13"/>
      <c r="P66" s="13"/>
      <c r="Q66" s="13"/>
      <c r="R66" s="13"/>
      <c r="S66" s="13"/>
      <c r="T66" s="13"/>
      <c r="U66" s="13"/>
      <c r="V66" s="13"/>
      <c r="W66" s="13"/>
      <c r="X66" s="13"/>
      <c r="Y66" s="13"/>
      <c r="Z66" s="13"/>
      <c r="AA66" s="13"/>
      <c r="AB66" s="13"/>
      <c r="AC66" s="13"/>
      <c r="AD66" s="13"/>
      <c r="AE66" s="13"/>
      <c r="AF66" s="13"/>
      <c r="AG66" s="13"/>
    </row>
    <row r="67" spans="1:33" x14ac:dyDescent="0.2">
      <c r="A67" s="22"/>
      <c r="B67" s="23"/>
      <c r="C67" s="23"/>
      <c r="D67" s="23"/>
      <c r="E67" s="23"/>
      <c r="F67" s="23"/>
      <c r="G67" s="23"/>
      <c r="H67" s="23"/>
      <c r="I67" s="24"/>
      <c r="J67" s="24"/>
      <c r="K67" s="24"/>
      <c r="L67" s="24"/>
      <c r="M67" s="13"/>
      <c r="N67" s="13"/>
      <c r="O67" s="13"/>
      <c r="P67" s="13"/>
      <c r="Q67" s="13"/>
      <c r="R67" s="13"/>
      <c r="S67" s="13"/>
      <c r="T67" s="13"/>
      <c r="U67" s="13"/>
      <c r="V67" s="13"/>
      <c r="W67" s="13"/>
      <c r="X67" s="13"/>
      <c r="Y67" s="13"/>
      <c r="Z67" s="13"/>
      <c r="AA67" s="13"/>
      <c r="AB67" s="13"/>
      <c r="AC67" s="13"/>
      <c r="AD67" s="13"/>
      <c r="AE67" s="13"/>
      <c r="AF67" s="13"/>
      <c r="AG67" s="13"/>
    </row>
    <row r="68" spans="1:33" x14ac:dyDescent="0.2">
      <c r="A68" s="22"/>
      <c r="B68" s="23"/>
      <c r="C68" s="23"/>
      <c r="D68" s="23"/>
      <c r="E68" s="23"/>
      <c r="F68" s="23"/>
      <c r="G68" s="23"/>
      <c r="H68" s="23"/>
      <c r="I68" s="24"/>
      <c r="J68" s="24"/>
      <c r="K68" s="24"/>
      <c r="L68" s="24"/>
      <c r="M68" s="13"/>
      <c r="N68" s="13"/>
      <c r="O68" s="13"/>
      <c r="P68" s="13"/>
      <c r="Q68" s="13"/>
      <c r="R68" s="13"/>
      <c r="S68" s="13"/>
      <c r="T68" s="13"/>
      <c r="U68" s="13"/>
      <c r="V68" s="13"/>
      <c r="W68" s="13"/>
      <c r="X68" s="13"/>
      <c r="Y68" s="13"/>
      <c r="Z68" s="13"/>
      <c r="AA68" s="13"/>
      <c r="AB68" s="13"/>
      <c r="AC68" s="13"/>
      <c r="AD68" s="13"/>
      <c r="AE68" s="13"/>
      <c r="AF68" s="13"/>
      <c r="AG68" s="13"/>
    </row>
    <row r="69" spans="1:33" x14ac:dyDescent="0.2">
      <c r="A69" s="17"/>
      <c r="B69" s="18"/>
      <c r="C69" s="18"/>
      <c r="D69" s="18"/>
      <c r="E69" s="18"/>
      <c r="F69" s="18"/>
      <c r="G69" s="18"/>
      <c r="H69" s="18"/>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row>
    <row r="70" spans="1:33" x14ac:dyDescent="0.2">
      <c r="A70" s="17"/>
      <c r="B70" s="18"/>
      <c r="C70" s="18"/>
      <c r="D70" s="18"/>
      <c r="E70" s="18"/>
      <c r="F70" s="18"/>
      <c r="G70" s="18"/>
      <c r="H70" s="18"/>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row>
    <row r="71" spans="1:33" x14ac:dyDescent="0.2">
      <c r="A71" s="17"/>
      <c r="B71" s="18"/>
      <c r="C71" s="18"/>
      <c r="D71" s="18"/>
      <c r="E71" s="18"/>
      <c r="F71" s="18"/>
      <c r="G71" s="18"/>
      <c r="H71" s="18"/>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row>
    <row r="72" spans="1:33" x14ac:dyDescent="0.2">
      <c r="A72" s="17"/>
      <c r="B72" s="18"/>
      <c r="C72" s="18"/>
      <c r="D72" s="18"/>
      <c r="E72" s="18"/>
      <c r="F72" s="18"/>
      <c r="G72" s="18"/>
      <c r="H72" s="18"/>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row>
    <row r="73" spans="1:33" x14ac:dyDescent="0.2">
      <c r="A73" s="17"/>
      <c r="B73" s="18"/>
      <c r="C73" s="18"/>
      <c r="D73" s="18"/>
      <c r="E73" s="18"/>
      <c r="F73" s="18"/>
      <c r="G73" s="18"/>
      <c r="H73" s="18"/>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row>
    <row r="74" spans="1:33" x14ac:dyDescent="0.2">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row>
  </sheetData>
  <mergeCells count="5">
    <mergeCell ref="A1:H1"/>
    <mergeCell ref="A2:H2"/>
    <mergeCell ref="A3:H3"/>
    <mergeCell ref="A4:H4"/>
    <mergeCell ref="I11:P34"/>
  </mergeCells>
  <phoneticPr fontId="6" type="noConversion"/>
  <pageMargins left="0.25" right="0.25" top="0.25"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
  <sheetViews>
    <sheetView zoomScale="125" zoomScaleNormal="125" zoomScalePageLayoutView="125" workbookViewId="0">
      <selection activeCell="A2" sqref="A2:J2"/>
    </sheetView>
  </sheetViews>
  <sheetFormatPr defaultColWidth="8.7109375" defaultRowHeight="12.75" x14ac:dyDescent="0.2"/>
  <cols>
    <col min="1" max="1" width="3.7109375" customWidth="1"/>
    <col min="2" max="2" width="13.5703125" customWidth="1"/>
    <col min="3" max="3" width="21.5703125" customWidth="1"/>
    <col min="4" max="4" width="1.7109375" customWidth="1"/>
    <col min="5" max="5" width="10.7109375" customWidth="1"/>
    <col min="6" max="6" width="12.42578125" customWidth="1"/>
    <col min="7" max="7" width="2.42578125" customWidth="1"/>
    <col min="8" max="8" width="13.28515625" customWidth="1"/>
    <col min="9" max="9" width="2" customWidth="1"/>
    <col min="10" max="10" width="19.42578125" customWidth="1"/>
    <col min="11" max="11" width="7.85546875" customWidth="1"/>
  </cols>
  <sheetData>
    <row r="1" spans="1:11" x14ac:dyDescent="0.2">
      <c r="A1" s="194" t="s">
        <v>258</v>
      </c>
      <c r="B1" s="194"/>
      <c r="C1" s="194"/>
      <c r="D1" s="194"/>
      <c r="E1" s="194"/>
      <c r="F1" s="194"/>
      <c r="G1" s="194"/>
      <c r="H1" s="194"/>
      <c r="I1" s="194"/>
      <c r="J1" s="194"/>
    </row>
    <row r="2" spans="1:11" x14ac:dyDescent="0.2">
      <c r="A2" s="194" t="s">
        <v>44</v>
      </c>
      <c r="B2" s="194"/>
      <c r="C2" s="194"/>
      <c r="D2" s="194"/>
      <c r="E2" s="194"/>
      <c r="F2" s="194"/>
      <c r="G2" s="194"/>
      <c r="H2" s="194"/>
      <c r="I2" s="194"/>
      <c r="J2" s="194"/>
    </row>
    <row r="3" spans="1:11" x14ac:dyDescent="0.2">
      <c r="A3" s="194" t="s">
        <v>23</v>
      </c>
      <c r="B3" s="194"/>
      <c r="C3" s="194"/>
      <c r="D3" s="194"/>
      <c r="E3" s="194"/>
      <c r="F3" s="194"/>
      <c r="G3" s="194"/>
      <c r="H3" s="194"/>
      <c r="I3" s="194"/>
      <c r="J3" s="194"/>
    </row>
    <row r="4" spans="1:11" x14ac:dyDescent="0.2">
      <c r="A4" s="194" t="s">
        <v>182</v>
      </c>
      <c r="B4" s="194"/>
      <c r="C4" s="194"/>
      <c r="D4" s="194"/>
      <c r="E4" s="194"/>
      <c r="F4" s="194"/>
      <c r="G4" s="194"/>
      <c r="H4" s="194"/>
      <c r="I4" s="194"/>
      <c r="J4" s="194"/>
    </row>
    <row r="5" spans="1:11" x14ac:dyDescent="0.2">
      <c r="A5" s="33"/>
      <c r="B5" s="33"/>
      <c r="C5" s="33"/>
      <c r="D5" s="33"/>
      <c r="E5" s="33"/>
      <c r="F5" s="33"/>
      <c r="G5" s="33"/>
      <c r="H5" s="33"/>
      <c r="I5" s="33"/>
      <c r="J5" s="33"/>
    </row>
    <row r="6" spans="1:11" x14ac:dyDescent="0.2">
      <c r="A6" s="33"/>
      <c r="B6" s="33"/>
      <c r="C6" s="33"/>
      <c r="D6" s="33"/>
      <c r="E6" s="33"/>
      <c r="F6" s="33"/>
      <c r="G6" s="33"/>
      <c r="H6" s="33"/>
      <c r="I6" s="33"/>
      <c r="J6" s="33"/>
    </row>
    <row r="7" spans="1:11" x14ac:dyDescent="0.2">
      <c r="A7" s="33"/>
      <c r="B7" s="33"/>
      <c r="C7" s="33"/>
      <c r="D7" s="33"/>
      <c r="E7" s="33"/>
      <c r="F7" s="33"/>
      <c r="G7" s="33"/>
      <c r="H7" s="33"/>
      <c r="I7" s="33"/>
      <c r="J7" s="33"/>
    </row>
    <row r="8" spans="1:11" x14ac:dyDescent="0.2">
      <c r="A8" s="33"/>
      <c r="B8" s="33"/>
      <c r="C8" s="33"/>
      <c r="D8" s="33"/>
      <c r="E8" s="33"/>
      <c r="F8" s="33"/>
      <c r="G8" s="33"/>
      <c r="H8" s="66"/>
      <c r="I8" s="33"/>
      <c r="J8" s="67" t="s">
        <v>51</v>
      </c>
    </row>
    <row r="9" spans="1:11" x14ac:dyDescent="0.2">
      <c r="A9" s="33"/>
      <c r="B9" s="33"/>
      <c r="C9" s="33"/>
      <c r="D9" s="33"/>
      <c r="E9" s="43" t="s">
        <v>46</v>
      </c>
      <c r="F9" s="43" t="s">
        <v>31</v>
      </c>
      <c r="G9" s="33"/>
      <c r="H9" s="66" t="s">
        <v>97</v>
      </c>
      <c r="I9" s="43"/>
      <c r="J9" s="67" t="s">
        <v>94</v>
      </c>
    </row>
    <row r="10" spans="1:11" x14ac:dyDescent="0.2">
      <c r="A10" s="33"/>
      <c r="B10" s="33"/>
      <c r="C10" s="33"/>
      <c r="D10" s="33"/>
      <c r="E10" s="43" t="s">
        <v>47</v>
      </c>
      <c r="F10" s="43" t="s">
        <v>45</v>
      </c>
      <c r="G10" s="33"/>
      <c r="H10" s="50" t="s">
        <v>98</v>
      </c>
      <c r="I10" s="43"/>
      <c r="J10" s="51" t="s">
        <v>34</v>
      </c>
      <c r="K10" s="98"/>
    </row>
    <row r="11" spans="1:11" x14ac:dyDescent="0.2">
      <c r="A11" s="33"/>
      <c r="B11" s="42"/>
      <c r="C11" s="33"/>
      <c r="D11" s="33"/>
      <c r="E11" s="33"/>
      <c r="F11" s="33"/>
      <c r="G11" s="44"/>
      <c r="H11" s="33"/>
      <c r="I11" s="33"/>
      <c r="J11" s="33"/>
    </row>
    <row r="12" spans="1:11" x14ac:dyDescent="0.2">
      <c r="A12" s="33"/>
      <c r="B12" s="42" t="s">
        <v>164</v>
      </c>
      <c r="C12" s="33"/>
      <c r="D12" s="33"/>
      <c r="E12" s="99">
        <f>30502</f>
        <v>30502</v>
      </c>
      <c r="F12" s="99">
        <v>31000</v>
      </c>
      <c r="G12" s="63"/>
      <c r="H12" s="99">
        <f>F12-J12</f>
        <v>25595</v>
      </c>
      <c r="I12" s="63"/>
      <c r="J12" s="73">
        <v>5405</v>
      </c>
      <c r="K12" s="30"/>
    </row>
    <row r="13" spans="1:11" x14ac:dyDescent="0.2">
      <c r="A13" s="33"/>
      <c r="B13" s="33"/>
      <c r="C13" s="33"/>
      <c r="D13" s="33"/>
      <c r="E13" s="99"/>
      <c r="F13" s="99"/>
      <c r="G13" s="63"/>
      <c r="H13" s="99"/>
      <c r="I13" s="63"/>
      <c r="J13" s="61"/>
    </row>
    <row r="14" spans="1:11" x14ac:dyDescent="0.2">
      <c r="A14" s="33"/>
      <c r="B14" s="42" t="s">
        <v>79</v>
      </c>
      <c r="C14" s="33"/>
      <c r="D14" s="33"/>
      <c r="E14" s="99">
        <v>46517</v>
      </c>
      <c r="F14" s="99">
        <v>48000</v>
      </c>
      <c r="G14" s="63"/>
      <c r="H14" s="99">
        <v>48000</v>
      </c>
      <c r="I14" s="63"/>
      <c r="J14" s="63"/>
    </row>
    <row r="15" spans="1:11" x14ac:dyDescent="0.2">
      <c r="A15" s="33"/>
      <c r="B15" s="33"/>
      <c r="C15" s="33"/>
      <c r="D15" s="33"/>
      <c r="E15" s="61"/>
      <c r="F15" s="61"/>
      <c r="G15" s="63"/>
      <c r="H15" s="61"/>
      <c r="I15" s="63"/>
      <c r="J15" s="61"/>
    </row>
    <row r="16" spans="1:11" x14ac:dyDescent="0.2">
      <c r="A16" s="33"/>
      <c r="B16" s="42" t="s">
        <v>202</v>
      </c>
      <c r="C16" s="33"/>
      <c r="D16" s="33"/>
      <c r="E16" s="73">
        <v>4668</v>
      </c>
      <c r="F16" s="73">
        <v>4800</v>
      </c>
      <c r="G16" s="77"/>
      <c r="H16" s="73">
        <v>4800</v>
      </c>
      <c r="I16" s="63"/>
      <c r="J16" s="61"/>
    </row>
    <row r="17" spans="1:10" x14ac:dyDescent="0.2">
      <c r="A17" s="33"/>
      <c r="B17" s="42"/>
      <c r="C17" s="33"/>
      <c r="D17" s="33"/>
      <c r="E17" s="73"/>
      <c r="F17" s="73"/>
      <c r="G17" s="77"/>
      <c r="H17" s="73"/>
      <c r="I17" s="63"/>
      <c r="J17" s="61"/>
    </row>
    <row r="18" spans="1:10" x14ac:dyDescent="0.2">
      <c r="A18" s="33"/>
      <c r="B18" s="42" t="s">
        <v>163</v>
      </c>
      <c r="C18" s="33"/>
      <c r="D18" s="33"/>
      <c r="E18" s="73">
        <v>13693</v>
      </c>
      <c r="F18" s="73">
        <v>14000</v>
      </c>
      <c r="G18" s="77"/>
      <c r="H18" s="73">
        <v>14000</v>
      </c>
      <c r="I18" s="63"/>
      <c r="J18" s="61"/>
    </row>
    <row r="19" spans="1:10" x14ac:dyDescent="0.2">
      <c r="A19" s="33"/>
      <c r="B19" s="33"/>
      <c r="C19" s="33"/>
      <c r="D19" s="33"/>
      <c r="E19" s="61"/>
      <c r="F19" s="61"/>
      <c r="G19" s="63"/>
      <c r="H19" s="61"/>
      <c r="I19" s="63"/>
      <c r="J19" s="61"/>
    </row>
    <row r="20" spans="1:10" x14ac:dyDescent="0.2">
      <c r="A20" s="33"/>
      <c r="B20" s="33"/>
      <c r="C20" s="33"/>
      <c r="D20" s="33"/>
      <c r="E20" s="61"/>
      <c r="F20" s="61"/>
      <c r="G20" s="63"/>
      <c r="H20" s="61"/>
      <c r="I20" s="63"/>
      <c r="J20" s="61"/>
    </row>
    <row r="21" spans="1:10" x14ac:dyDescent="0.2">
      <c r="A21" s="33"/>
      <c r="B21" s="42" t="s">
        <v>88</v>
      </c>
      <c r="C21" s="33"/>
      <c r="D21" s="33"/>
      <c r="E21" s="61"/>
      <c r="F21" s="61"/>
      <c r="G21" s="63"/>
      <c r="H21" s="61"/>
      <c r="I21" s="63"/>
      <c r="J21" s="61"/>
    </row>
    <row r="22" spans="1:10" x14ac:dyDescent="0.2">
      <c r="A22" s="33"/>
      <c r="B22" s="33" t="s">
        <v>48</v>
      </c>
      <c r="C22" s="33"/>
      <c r="D22" s="33"/>
      <c r="E22" s="207">
        <v>12330</v>
      </c>
      <c r="F22" s="73"/>
      <c r="G22" s="77"/>
      <c r="H22" s="73"/>
      <c r="I22" s="77"/>
      <c r="J22" s="73"/>
    </row>
    <row r="23" spans="1:10" x14ac:dyDescent="0.2">
      <c r="A23" s="33"/>
      <c r="B23" s="33" t="s">
        <v>49</v>
      </c>
      <c r="C23" s="33"/>
      <c r="D23" s="33"/>
      <c r="E23" s="208"/>
      <c r="F23" s="73">
        <v>12330</v>
      </c>
      <c r="G23" s="77"/>
      <c r="H23" s="73">
        <v>8630</v>
      </c>
      <c r="I23" s="77"/>
      <c r="J23" s="73">
        <v>3700</v>
      </c>
    </row>
    <row r="24" spans="1:10" x14ac:dyDescent="0.2">
      <c r="A24" s="33"/>
      <c r="B24" s="33"/>
      <c r="C24" s="33"/>
      <c r="D24" s="33"/>
      <c r="E24" s="72">
        <v>12330</v>
      </c>
      <c r="F24" s="72">
        <v>12330</v>
      </c>
      <c r="G24" s="77"/>
      <c r="H24" s="72">
        <f>SUM(H22:H23)</f>
        <v>8630</v>
      </c>
      <c r="I24" s="77"/>
      <c r="J24" s="72">
        <f>SUM(J22:J23)</f>
        <v>3700</v>
      </c>
    </row>
    <row r="25" spans="1:10" x14ac:dyDescent="0.2">
      <c r="A25" s="33"/>
      <c r="B25" s="33"/>
      <c r="C25" s="33"/>
      <c r="D25" s="33"/>
      <c r="E25" s="61"/>
      <c r="F25" s="61"/>
      <c r="G25" s="63"/>
      <c r="H25" s="61"/>
      <c r="I25" s="63"/>
      <c r="J25" s="61"/>
    </row>
    <row r="26" spans="1:10" x14ac:dyDescent="0.2">
      <c r="A26" s="33"/>
      <c r="B26" s="33"/>
      <c r="C26" s="33"/>
      <c r="D26" s="33"/>
      <c r="E26" s="73">
        <f>E12+E14+E18+E22</f>
        <v>103042</v>
      </c>
      <c r="F26" s="73">
        <f>F12+F14+F18+F24</f>
        <v>105330</v>
      </c>
      <c r="G26" s="73"/>
      <c r="H26" s="134">
        <f>H12+H14+H18+H24</f>
        <v>96225</v>
      </c>
      <c r="I26" s="73">
        <f>I12+I14+I18+I22</f>
        <v>0</v>
      </c>
      <c r="J26" s="73">
        <f>J12+J14+J18+J23</f>
        <v>9105</v>
      </c>
    </row>
    <row r="27" spans="1:10" x14ac:dyDescent="0.2">
      <c r="A27" s="33"/>
      <c r="B27" s="33"/>
      <c r="C27" s="33"/>
      <c r="D27" s="33"/>
      <c r="E27" s="62"/>
      <c r="F27" s="62"/>
      <c r="G27" s="62"/>
      <c r="H27" s="62"/>
      <c r="I27" s="62"/>
      <c r="J27" s="62"/>
    </row>
    <row r="28" spans="1:10" x14ac:dyDescent="0.2">
      <c r="A28" s="33"/>
      <c r="B28" s="33"/>
      <c r="C28" s="33"/>
      <c r="D28" s="33"/>
      <c r="E28" s="62"/>
      <c r="F28" s="62"/>
      <c r="G28" s="62"/>
      <c r="H28" s="62"/>
      <c r="I28" s="62"/>
      <c r="J28" s="62"/>
    </row>
    <row r="29" spans="1:10" x14ac:dyDescent="0.2">
      <c r="E29" s="9"/>
      <c r="F29" s="9"/>
      <c r="G29" s="9"/>
      <c r="H29" s="9"/>
      <c r="I29" s="9"/>
      <c r="J29" s="9"/>
    </row>
    <row r="30" spans="1:10" x14ac:dyDescent="0.2">
      <c r="E30" s="9"/>
      <c r="F30" s="9"/>
      <c r="G30" s="9"/>
      <c r="H30" s="9"/>
      <c r="I30" s="9"/>
      <c r="J30" s="9"/>
    </row>
    <row r="31" spans="1:10" x14ac:dyDescent="0.2">
      <c r="E31" s="9"/>
      <c r="F31" s="9"/>
      <c r="G31" s="9"/>
      <c r="H31" s="9"/>
      <c r="I31" s="9"/>
      <c r="J31" s="9"/>
    </row>
    <row r="32" spans="1:10" x14ac:dyDescent="0.2">
      <c r="E32" s="9"/>
      <c r="F32" s="9"/>
      <c r="G32" s="9"/>
      <c r="H32" s="9"/>
      <c r="I32" s="9"/>
      <c r="J32" s="9"/>
    </row>
    <row r="33" spans="5:10" x14ac:dyDescent="0.2">
      <c r="E33" s="9"/>
      <c r="F33" s="9"/>
      <c r="G33" s="9"/>
      <c r="H33" s="9"/>
      <c r="I33" s="9"/>
      <c r="J33" s="9"/>
    </row>
    <row r="34" spans="5:10" x14ac:dyDescent="0.2">
      <c r="E34" s="9"/>
      <c r="F34" s="9"/>
      <c r="G34" s="9"/>
      <c r="H34" s="9"/>
      <c r="I34" s="9"/>
      <c r="J34" s="9"/>
    </row>
    <row r="35" spans="5:10" x14ac:dyDescent="0.2">
      <c r="E35" s="9"/>
      <c r="F35" s="9"/>
      <c r="G35" s="9"/>
      <c r="H35" s="9"/>
      <c r="I35" s="9"/>
      <c r="J35" s="9"/>
    </row>
    <row r="36" spans="5:10" x14ac:dyDescent="0.2">
      <c r="E36" s="9"/>
      <c r="F36" s="9"/>
      <c r="G36" s="9"/>
      <c r="H36" s="9"/>
      <c r="I36" s="9"/>
      <c r="J36" s="9"/>
    </row>
    <row r="37" spans="5:10" x14ac:dyDescent="0.2">
      <c r="E37" s="9"/>
      <c r="F37" s="9"/>
      <c r="G37" s="9"/>
      <c r="H37" s="9"/>
      <c r="I37" s="9"/>
      <c r="J37" s="9"/>
    </row>
  </sheetData>
  <mergeCells count="5">
    <mergeCell ref="E22:E23"/>
    <mergeCell ref="A1:J1"/>
    <mergeCell ref="A2:J2"/>
    <mergeCell ref="A3:J3"/>
    <mergeCell ref="A4:J4"/>
  </mergeCells>
  <phoneticPr fontId="6" type="noConversion"/>
  <pageMargins left="0.25" right="0.25" top="0.25" bottom="0.2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9"/>
  <sheetViews>
    <sheetView workbookViewId="0">
      <selection activeCell="A2" sqref="A2:J2"/>
    </sheetView>
  </sheetViews>
  <sheetFormatPr defaultColWidth="8.7109375" defaultRowHeight="12.75" x14ac:dyDescent="0.2"/>
  <cols>
    <col min="3" max="3" width="15.7109375" customWidth="1"/>
    <col min="4" max="4" width="18.5703125" customWidth="1"/>
    <col min="7" max="7" width="11.85546875" customWidth="1"/>
    <col min="8" max="8" width="9.42578125" bestFit="1" customWidth="1"/>
  </cols>
  <sheetData>
    <row r="1" spans="1:10" x14ac:dyDescent="0.2">
      <c r="A1" s="194" t="s">
        <v>258</v>
      </c>
      <c r="B1" s="194"/>
      <c r="C1" s="194"/>
      <c r="D1" s="194"/>
      <c r="E1" s="194"/>
      <c r="F1" s="194"/>
      <c r="G1" s="194"/>
      <c r="H1" s="194"/>
      <c r="I1" s="194"/>
      <c r="J1" s="194"/>
    </row>
    <row r="2" spans="1:10" x14ac:dyDescent="0.2">
      <c r="A2" s="194" t="s">
        <v>106</v>
      </c>
      <c r="B2" s="194"/>
      <c r="C2" s="194"/>
      <c r="D2" s="194"/>
      <c r="E2" s="194"/>
      <c r="F2" s="194"/>
      <c r="G2" s="194"/>
      <c r="H2" s="194"/>
      <c r="I2" s="194"/>
      <c r="J2" s="194"/>
    </row>
    <row r="3" spans="1:10" x14ac:dyDescent="0.2">
      <c r="A3" s="194" t="s">
        <v>23</v>
      </c>
      <c r="B3" s="194"/>
      <c r="C3" s="194"/>
      <c r="D3" s="194"/>
      <c r="E3" s="194"/>
      <c r="F3" s="194"/>
      <c r="G3" s="194"/>
      <c r="H3" s="194"/>
      <c r="I3" s="194"/>
      <c r="J3" s="194"/>
    </row>
    <row r="4" spans="1:10" x14ac:dyDescent="0.2">
      <c r="A4" s="194" t="s">
        <v>182</v>
      </c>
      <c r="B4" s="194"/>
      <c r="C4" s="194"/>
      <c r="D4" s="194"/>
      <c r="E4" s="194"/>
      <c r="F4" s="194"/>
      <c r="G4" s="194"/>
      <c r="H4" s="194"/>
      <c r="I4" s="194"/>
      <c r="J4" s="194"/>
    </row>
    <row r="5" spans="1:10" x14ac:dyDescent="0.2">
      <c r="A5" s="33"/>
      <c r="B5" s="33"/>
      <c r="C5" s="33"/>
      <c r="D5" s="33"/>
      <c r="E5" s="33"/>
      <c r="F5" s="33"/>
      <c r="G5" s="33"/>
      <c r="H5" s="33"/>
      <c r="I5" s="33"/>
      <c r="J5" s="33"/>
    </row>
    <row r="6" spans="1:10" x14ac:dyDescent="0.2">
      <c r="A6" s="33"/>
      <c r="B6" s="33"/>
      <c r="C6" s="33"/>
      <c r="D6" s="33"/>
      <c r="E6" s="33"/>
      <c r="F6" s="33"/>
      <c r="G6" s="33"/>
      <c r="H6" s="33"/>
      <c r="I6" s="33"/>
      <c r="J6" s="33"/>
    </row>
    <row r="7" spans="1:10" x14ac:dyDescent="0.2">
      <c r="A7" s="33"/>
      <c r="B7" s="33"/>
      <c r="C7" s="33"/>
      <c r="D7" s="33"/>
      <c r="E7" s="33"/>
      <c r="F7" s="33"/>
      <c r="G7" s="33"/>
      <c r="H7" s="62"/>
      <c r="I7" s="33"/>
      <c r="J7" s="33"/>
    </row>
    <row r="8" spans="1:10" x14ac:dyDescent="0.2">
      <c r="A8" s="33"/>
      <c r="B8" s="33"/>
      <c r="C8" s="33"/>
      <c r="D8" s="33"/>
      <c r="E8" s="33"/>
      <c r="F8" s="33"/>
      <c r="G8" s="33"/>
      <c r="H8" s="62"/>
      <c r="I8" s="33"/>
      <c r="J8" s="33"/>
    </row>
    <row r="9" spans="1:10" x14ac:dyDescent="0.2">
      <c r="A9" s="42" t="s">
        <v>80</v>
      </c>
      <c r="B9" s="42"/>
      <c r="C9" s="42"/>
      <c r="D9" s="33"/>
      <c r="E9" s="33"/>
      <c r="F9" s="33"/>
      <c r="G9" s="33"/>
      <c r="H9" s="62"/>
      <c r="I9" s="33"/>
      <c r="J9" s="33"/>
    </row>
    <row r="10" spans="1:10" x14ac:dyDescent="0.2">
      <c r="A10" s="42" t="s">
        <v>81</v>
      </c>
      <c r="B10" s="42"/>
      <c r="C10" s="42"/>
      <c r="D10" s="33"/>
      <c r="E10" s="33"/>
      <c r="F10" s="33"/>
      <c r="G10" s="33"/>
      <c r="H10" s="33"/>
      <c r="I10" s="33"/>
      <c r="J10" s="33"/>
    </row>
    <row r="11" spans="1:10" x14ac:dyDescent="0.2">
      <c r="A11" s="33"/>
      <c r="B11" s="33"/>
      <c r="C11" s="33"/>
      <c r="D11" s="33"/>
      <c r="E11" s="33"/>
      <c r="F11" s="33"/>
      <c r="G11" s="33"/>
      <c r="H11" s="33"/>
      <c r="I11" s="33"/>
      <c r="J11" s="33"/>
    </row>
    <row r="12" spans="1:10" x14ac:dyDescent="0.2">
      <c r="A12" s="33"/>
      <c r="B12" s="33" t="s">
        <v>89</v>
      </c>
      <c r="C12" s="33"/>
      <c r="D12" s="33"/>
      <c r="E12" s="33"/>
      <c r="F12" s="33"/>
      <c r="G12" s="33">
        <v>420</v>
      </c>
      <c r="H12" s="33"/>
      <c r="I12" s="33"/>
      <c r="J12" s="33"/>
    </row>
    <row r="13" spans="1:10" x14ac:dyDescent="0.2">
      <c r="A13" s="33"/>
      <c r="B13" s="33"/>
      <c r="C13" s="33"/>
      <c r="D13" s="33"/>
      <c r="E13" s="33"/>
      <c r="F13" s="33"/>
      <c r="G13" s="78">
        <v>12</v>
      </c>
      <c r="H13" s="33"/>
      <c r="I13" s="33"/>
      <c r="J13" s="33"/>
    </row>
    <row r="14" spans="1:10" x14ac:dyDescent="0.2">
      <c r="A14" s="33"/>
      <c r="B14" s="33" t="s">
        <v>90</v>
      </c>
      <c r="C14" s="33"/>
      <c r="D14" s="33"/>
      <c r="E14" s="33"/>
      <c r="F14" s="33"/>
      <c r="G14" s="33"/>
      <c r="H14" s="62">
        <f>G12*G13</f>
        <v>5040</v>
      </c>
      <c r="I14" s="33"/>
      <c r="J14" s="33"/>
    </row>
    <row r="15" spans="1:10" x14ac:dyDescent="0.2">
      <c r="A15" s="33"/>
      <c r="B15" s="33"/>
      <c r="C15" s="33"/>
      <c r="D15" s="33"/>
      <c r="E15" s="33"/>
      <c r="F15" s="33"/>
      <c r="G15" s="33"/>
      <c r="H15" s="33"/>
      <c r="I15" s="33"/>
      <c r="J15" s="33"/>
    </row>
    <row r="16" spans="1:10" x14ac:dyDescent="0.2">
      <c r="A16" s="33"/>
      <c r="B16" s="33" t="s">
        <v>82</v>
      </c>
      <c r="C16" s="33"/>
      <c r="D16" s="33"/>
      <c r="E16" s="33"/>
      <c r="F16" s="33"/>
      <c r="G16" s="33"/>
      <c r="H16" s="49">
        <v>103</v>
      </c>
      <c r="I16" s="33"/>
      <c r="J16" s="33"/>
    </row>
    <row r="17" spans="1:10" x14ac:dyDescent="0.2">
      <c r="A17" s="33"/>
      <c r="B17" s="33"/>
      <c r="C17" s="33"/>
      <c r="D17" s="33"/>
      <c r="E17" s="33"/>
      <c r="F17" s="33"/>
      <c r="G17" s="33"/>
      <c r="H17" s="62">
        <f>H14*H16</f>
        <v>519120</v>
      </c>
      <c r="I17" s="33"/>
      <c r="J17" s="33"/>
    </row>
    <row r="18" spans="1:10" x14ac:dyDescent="0.2">
      <c r="A18" s="33"/>
      <c r="B18" s="33" t="s">
        <v>105</v>
      </c>
      <c r="C18" s="33"/>
      <c r="D18" s="33"/>
      <c r="E18" s="33"/>
      <c r="F18" s="33"/>
      <c r="G18" s="33"/>
      <c r="H18" s="79">
        <v>0.8</v>
      </c>
      <c r="I18" s="33"/>
      <c r="J18" s="33"/>
    </row>
    <row r="19" spans="1:10" x14ac:dyDescent="0.2">
      <c r="A19" s="33"/>
      <c r="B19" s="33"/>
      <c r="C19" s="33"/>
      <c r="D19" s="33"/>
      <c r="E19" s="33"/>
      <c r="F19" s="33"/>
      <c r="G19" s="33"/>
      <c r="H19" s="33"/>
      <c r="I19" s="33"/>
      <c r="J19" s="33"/>
    </row>
    <row r="20" spans="1:10" ht="13.5" thickBot="1" x14ac:dyDescent="0.25">
      <c r="A20" s="33"/>
      <c r="B20" s="33" t="s">
        <v>124</v>
      </c>
      <c r="C20" s="33"/>
      <c r="D20" s="33"/>
      <c r="E20" s="33"/>
      <c r="F20" s="33"/>
      <c r="G20" s="33"/>
      <c r="H20" s="80">
        <f>H17*H18+4</f>
        <v>415300</v>
      </c>
      <c r="I20" s="33"/>
      <c r="J20" s="33"/>
    </row>
    <row r="21" spans="1:10" x14ac:dyDescent="0.2">
      <c r="A21" s="33"/>
      <c r="B21" s="33"/>
      <c r="C21" s="33"/>
      <c r="D21" s="33"/>
      <c r="E21" s="33"/>
      <c r="F21" s="33"/>
      <c r="G21" s="33"/>
      <c r="H21" s="33"/>
      <c r="I21" s="33"/>
      <c r="J21" s="33"/>
    </row>
    <row r="22" spans="1:10" x14ac:dyDescent="0.2">
      <c r="A22" s="33"/>
      <c r="B22" s="33"/>
      <c r="C22" s="33"/>
      <c r="D22" s="33"/>
      <c r="E22" s="33"/>
      <c r="F22" s="33"/>
      <c r="G22" s="33"/>
      <c r="H22" s="33"/>
      <c r="I22" s="33"/>
      <c r="J22" s="33"/>
    </row>
    <row r="23" spans="1:10" x14ac:dyDescent="0.2">
      <c r="A23" s="42" t="s">
        <v>86</v>
      </c>
      <c r="B23" s="42"/>
      <c r="C23" s="42"/>
      <c r="D23" s="33"/>
      <c r="E23" s="33"/>
      <c r="F23" s="33"/>
      <c r="G23" s="33"/>
      <c r="H23" s="33"/>
      <c r="I23" s="33"/>
      <c r="J23" s="33"/>
    </row>
    <row r="24" spans="1:10" x14ac:dyDescent="0.2">
      <c r="A24" s="42" t="s">
        <v>81</v>
      </c>
      <c r="B24" s="42"/>
      <c r="C24" s="42"/>
      <c r="D24" s="33"/>
      <c r="E24" s="33"/>
      <c r="F24" s="33"/>
      <c r="G24" s="33"/>
      <c r="H24" s="33"/>
      <c r="I24" s="33"/>
      <c r="J24" s="33"/>
    </row>
    <row r="25" spans="1:10" x14ac:dyDescent="0.2">
      <c r="A25" s="33"/>
      <c r="B25" s="33"/>
      <c r="C25" s="33"/>
      <c r="D25" s="33"/>
      <c r="E25" s="33"/>
      <c r="F25" s="33"/>
      <c r="G25" s="33"/>
      <c r="H25" s="33"/>
      <c r="I25" s="33"/>
      <c r="J25" s="33"/>
    </row>
    <row r="26" spans="1:10" x14ac:dyDescent="0.2">
      <c r="A26" s="33"/>
      <c r="B26" s="33" t="s">
        <v>193</v>
      </c>
      <c r="C26" s="33"/>
      <c r="D26" s="33"/>
      <c r="E26" s="33"/>
      <c r="F26" s="33"/>
      <c r="G26" s="62"/>
      <c r="H26" s="62">
        <v>963600</v>
      </c>
      <c r="I26" s="33"/>
      <c r="J26" s="33"/>
    </row>
    <row r="27" spans="1:10" x14ac:dyDescent="0.2">
      <c r="A27" s="33"/>
      <c r="B27" s="33"/>
      <c r="C27" s="33"/>
      <c r="D27" s="33"/>
      <c r="E27" s="33"/>
      <c r="F27" s="33"/>
      <c r="G27" s="33"/>
      <c r="H27" s="62"/>
      <c r="I27" s="33"/>
      <c r="J27" s="33"/>
    </row>
    <row r="28" spans="1:10" x14ac:dyDescent="0.2">
      <c r="A28" s="33"/>
      <c r="B28" s="33" t="s">
        <v>105</v>
      </c>
      <c r="C28" s="33"/>
      <c r="D28" s="33"/>
      <c r="E28" s="33"/>
      <c r="F28" s="33"/>
      <c r="G28" s="33"/>
      <c r="H28" s="79">
        <v>0.85</v>
      </c>
      <c r="I28" s="33"/>
      <c r="J28" s="33"/>
    </row>
    <row r="29" spans="1:10" x14ac:dyDescent="0.2">
      <c r="A29" s="33"/>
      <c r="B29" s="33"/>
      <c r="C29" s="33"/>
      <c r="D29" s="33"/>
      <c r="E29" s="33"/>
      <c r="F29" s="33"/>
      <c r="G29" s="33"/>
      <c r="H29" s="62"/>
      <c r="I29" s="33"/>
      <c r="J29" s="33"/>
    </row>
    <row r="30" spans="1:10" ht="13.5" thickBot="1" x14ac:dyDescent="0.25">
      <c r="A30" s="33"/>
      <c r="B30" s="33" t="s">
        <v>123</v>
      </c>
      <c r="C30" s="33"/>
      <c r="D30" s="33"/>
      <c r="E30" s="33"/>
      <c r="F30" s="33"/>
      <c r="G30" s="33"/>
      <c r="H30" s="81">
        <f>H26*H28</f>
        <v>819060</v>
      </c>
      <c r="I30" s="33"/>
      <c r="J30" s="33"/>
    </row>
    <row r="31" spans="1:10" ht="13.5" thickTop="1" x14ac:dyDescent="0.2">
      <c r="A31" s="33"/>
      <c r="B31" s="33"/>
      <c r="C31" s="33"/>
      <c r="D31" s="33"/>
      <c r="E31" s="33"/>
      <c r="F31" s="33"/>
      <c r="G31" s="33"/>
      <c r="H31" s="33"/>
      <c r="I31" s="33"/>
      <c r="J31" s="33"/>
    </row>
    <row r="32" spans="1:10" x14ac:dyDescent="0.2">
      <c r="A32" s="33"/>
      <c r="B32" s="33"/>
      <c r="C32" s="33"/>
      <c r="D32" s="33"/>
      <c r="E32" s="33"/>
      <c r="F32" s="33"/>
      <c r="G32" s="33"/>
      <c r="H32" s="33"/>
      <c r="I32" s="33"/>
      <c r="J32" s="33"/>
    </row>
    <row r="33" spans="1:10" x14ac:dyDescent="0.2">
      <c r="A33" s="42" t="s">
        <v>141</v>
      </c>
      <c r="B33" s="42"/>
      <c r="C33" s="42"/>
      <c r="D33" s="33"/>
      <c r="E33" s="33"/>
      <c r="F33" s="33"/>
      <c r="G33" s="33"/>
      <c r="H33" s="33"/>
      <c r="I33" s="33"/>
      <c r="J33" s="33"/>
    </row>
    <row r="34" spans="1:10" x14ac:dyDescent="0.2">
      <c r="A34" s="33"/>
      <c r="B34" s="33"/>
      <c r="C34" s="33"/>
      <c r="D34" s="33"/>
      <c r="E34" s="141"/>
      <c r="F34" s="141"/>
      <c r="G34" s="139">
        <v>2015</v>
      </c>
      <c r="H34" s="62"/>
      <c r="I34" s="33"/>
      <c r="J34" s="33"/>
    </row>
    <row r="35" spans="1:10" x14ac:dyDescent="0.2">
      <c r="A35" s="33"/>
      <c r="B35" s="33">
        <v>1406</v>
      </c>
      <c r="C35" s="33" t="s">
        <v>126</v>
      </c>
      <c r="D35" s="33"/>
      <c r="E35" s="71"/>
      <c r="F35" s="71"/>
      <c r="G35" s="62">
        <v>80580</v>
      </c>
      <c r="H35" s="62"/>
      <c r="I35" s="33"/>
      <c r="J35" s="33"/>
    </row>
    <row r="36" spans="1:10" x14ac:dyDescent="0.2">
      <c r="A36" s="33"/>
      <c r="B36" s="33">
        <v>1410</v>
      </c>
      <c r="C36" s="33" t="s">
        <v>33</v>
      </c>
      <c r="D36" s="33"/>
      <c r="E36" s="71"/>
      <c r="F36" s="71"/>
      <c r="G36" s="82">
        <v>40000</v>
      </c>
      <c r="H36" s="71"/>
      <c r="I36" s="33"/>
      <c r="J36" s="33"/>
    </row>
    <row r="37" spans="1:10" ht="13.5" thickBot="1" x14ac:dyDescent="0.25">
      <c r="A37" s="33"/>
      <c r="B37" s="33"/>
      <c r="C37" s="33"/>
      <c r="D37" s="33"/>
      <c r="E37" s="44"/>
      <c r="F37" s="44"/>
      <c r="G37" s="33"/>
      <c r="H37" s="81">
        <f>G35+G36</f>
        <v>120580</v>
      </c>
      <c r="I37" s="33"/>
      <c r="J37" s="33"/>
    </row>
    <row r="38" spans="1:10" ht="13.5" thickTop="1" x14ac:dyDescent="0.2">
      <c r="E38" s="17"/>
      <c r="F38" s="17"/>
    </row>
    <row r="39" spans="1:10" x14ac:dyDescent="0.2">
      <c r="F39" s="17"/>
    </row>
  </sheetData>
  <mergeCells count="4">
    <mergeCell ref="A1:J1"/>
    <mergeCell ref="A2:J2"/>
    <mergeCell ref="A3:J3"/>
    <mergeCell ref="A4:J4"/>
  </mergeCells>
  <phoneticPr fontId="6" type="noConversion"/>
  <pageMargins left="0.25" right="0.25" top="0.25" bottom="0.2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99"/>
  <sheetViews>
    <sheetView topLeftCell="A100" zoomScaleNormal="100" zoomScalePageLayoutView="125" workbookViewId="0">
      <selection activeCell="A2" sqref="A2:K2"/>
    </sheetView>
  </sheetViews>
  <sheetFormatPr defaultColWidth="8.7109375" defaultRowHeight="12.75" x14ac:dyDescent="0.2"/>
  <cols>
    <col min="2" max="2" width="29.7109375" customWidth="1"/>
    <col min="3" max="3" width="14.140625" customWidth="1"/>
    <col min="4" max="4" width="8.85546875" customWidth="1"/>
    <col min="5" max="5" width="14.140625" customWidth="1"/>
    <col min="6" max="6" width="2.42578125" customWidth="1"/>
    <col min="7" max="7" width="16.7109375" style="3" customWidth="1"/>
    <col min="8" max="8" width="2.28515625" style="3" customWidth="1"/>
    <col min="9" max="9" width="13.5703125" style="3" bestFit="1" customWidth="1"/>
    <col min="10" max="10" width="2.42578125" style="3" customWidth="1"/>
    <col min="11" max="11" width="31.140625" style="182" customWidth="1"/>
    <col min="13" max="13" width="11.28515625" bestFit="1" customWidth="1"/>
  </cols>
  <sheetData>
    <row r="1" spans="1:45" x14ac:dyDescent="0.2">
      <c r="A1" s="194" t="s">
        <v>258</v>
      </c>
      <c r="B1" s="194"/>
      <c r="C1" s="194"/>
      <c r="D1" s="194"/>
      <c r="E1" s="194"/>
      <c r="F1" s="194"/>
      <c r="G1" s="194"/>
      <c r="H1" s="194"/>
      <c r="I1" s="194"/>
      <c r="J1" s="194"/>
      <c r="K1" s="194"/>
    </row>
    <row r="2" spans="1:45" x14ac:dyDescent="0.2">
      <c r="A2" s="194" t="s">
        <v>23</v>
      </c>
      <c r="B2" s="194"/>
      <c r="C2" s="194"/>
      <c r="D2" s="194"/>
      <c r="E2" s="194"/>
      <c r="F2" s="194"/>
      <c r="G2" s="194"/>
      <c r="H2" s="194"/>
      <c r="I2" s="194"/>
      <c r="J2" s="194"/>
      <c r="K2" s="194"/>
    </row>
    <row r="3" spans="1:45" x14ac:dyDescent="0.2">
      <c r="A3" s="195" t="s">
        <v>182</v>
      </c>
      <c r="B3" s="195"/>
      <c r="C3" s="195"/>
      <c r="D3" s="195"/>
      <c r="E3" s="195"/>
      <c r="F3" s="195"/>
      <c r="G3" s="195"/>
      <c r="H3" s="195"/>
      <c r="I3" s="195"/>
      <c r="J3" s="195"/>
      <c r="K3" s="195"/>
    </row>
    <row r="4" spans="1:45" x14ac:dyDescent="0.2">
      <c r="A4" s="33"/>
      <c r="B4" s="33"/>
      <c r="C4" s="45"/>
      <c r="D4" s="45"/>
      <c r="E4" s="45"/>
      <c r="F4" s="91"/>
      <c r="G4" s="46"/>
      <c r="H4" s="95"/>
      <c r="I4" s="46"/>
      <c r="J4" s="95"/>
      <c r="K4" s="176"/>
      <c r="L4" s="142"/>
    </row>
    <row r="5" spans="1:45" x14ac:dyDescent="0.2">
      <c r="A5" s="33"/>
      <c r="B5" s="33"/>
      <c r="C5" s="45"/>
      <c r="D5" s="45"/>
      <c r="E5" s="45"/>
      <c r="F5" s="93"/>
      <c r="G5" s="46"/>
      <c r="H5" s="95"/>
      <c r="I5" s="46"/>
      <c r="J5" s="95"/>
      <c r="K5" s="176"/>
      <c r="L5" s="142"/>
    </row>
    <row r="6" spans="1:45" x14ac:dyDescent="0.2">
      <c r="A6" s="33"/>
      <c r="B6" s="33"/>
      <c r="C6" s="167">
        <v>2016</v>
      </c>
      <c r="D6" s="167"/>
      <c r="E6" s="167">
        <v>2015</v>
      </c>
      <c r="F6" s="169"/>
      <c r="G6" s="167">
        <v>2014</v>
      </c>
      <c r="H6" s="169"/>
      <c r="I6" s="167">
        <v>2013</v>
      </c>
      <c r="J6" s="96"/>
      <c r="K6" s="146" t="s">
        <v>91</v>
      </c>
      <c r="L6" s="142"/>
    </row>
    <row r="7" spans="1:45" x14ac:dyDescent="0.2">
      <c r="A7" s="52" t="s">
        <v>131</v>
      </c>
      <c r="B7" s="53"/>
      <c r="C7" s="54"/>
      <c r="D7" s="54"/>
      <c r="E7" s="54"/>
      <c r="F7" s="53"/>
      <c r="G7" s="55"/>
      <c r="H7" s="55"/>
      <c r="I7" s="55"/>
      <c r="J7" s="55"/>
      <c r="K7" s="177"/>
    </row>
    <row r="8" spans="1:45" x14ac:dyDescent="0.2">
      <c r="A8" s="53" t="s">
        <v>1</v>
      </c>
      <c r="B8" s="53"/>
      <c r="C8" s="56">
        <f>'Proposed 2016'!C8</f>
        <v>1188000</v>
      </c>
      <c r="D8" s="56"/>
      <c r="E8" s="56">
        <v>1097194</v>
      </c>
      <c r="F8" s="56"/>
      <c r="G8" s="56">
        <v>1034748</v>
      </c>
      <c r="H8" s="56"/>
      <c r="I8" s="168">
        <v>1025399</v>
      </c>
      <c r="J8" s="56"/>
      <c r="K8" s="178"/>
      <c r="L8" s="4"/>
      <c r="M8" s="4"/>
      <c r="N8" s="4"/>
      <c r="O8" s="4"/>
      <c r="P8" s="4"/>
      <c r="Q8" s="4"/>
      <c r="R8" s="4"/>
      <c r="U8" s="4"/>
      <c r="V8" s="4"/>
      <c r="W8" s="4"/>
      <c r="X8" s="4"/>
      <c r="Y8" s="4"/>
      <c r="Z8" s="4"/>
      <c r="AA8" s="4"/>
      <c r="AB8" s="4"/>
      <c r="AC8" s="4"/>
      <c r="AD8" s="4"/>
      <c r="AE8" s="4"/>
      <c r="AF8" s="4"/>
      <c r="AG8" s="4"/>
      <c r="AH8" s="4"/>
      <c r="AI8" s="4"/>
      <c r="AJ8" s="4"/>
      <c r="AK8" s="4"/>
      <c r="AL8" s="4"/>
      <c r="AM8" s="4"/>
      <c r="AN8" s="4"/>
      <c r="AO8" s="4"/>
      <c r="AP8" s="4"/>
      <c r="AQ8" s="4"/>
      <c r="AR8" s="4"/>
      <c r="AS8" s="4"/>
    </row>
    <row r="9" spans="1:45" x14ac:dyDescent="0.2">
      <c r="A9" s="53" t="s">
        <v>24</v>
      </c>
      <c r="B9" s="53"/>
      <c r="C9" s="57">
        <f>'Proposed 2016'!C10+'Proposed 2016'!C11+'Proposed 2016'!C12+'Proposed 2016'!C13</f>
        <v>31400</v>
      </c>
      <c r="D9" s="57"/>
      <c r="E9" s="57">
        <v>30315</v>
      </c>
      <c r="F9" s="57"/>
      <c r="G9" s="168">
        <v>35569</v>
      </c>
      <c r="H9" s="55"/>
      <c r="I9" s="168">
        <v>26529</v>
      </c>
      <c r="J9" s="55"/>
      <c r="K9" s="178"/>
      <c r="L9" s="4"/>
      <c r="M9" s="4"/>
      <c r="N9" s="4"/>
      <c r="O9" s="4"/>
      <c r="P9" s="4"/>
      <c r="Q9" s="4"/>
      <c r="R9" s="4"/>
      <c r="U9" s="4"/>
      <c r="V9" s="4"/>
      <c r="W9" s="4"/>
      <c r="X9" s="4"/>
      <c r="Y9" s="4"/>
      <c r="Z9" s="4"/>
      <c r="AA9" s="4"/>
      <c r="AB9" s="4"/>
      <c r="AC9" s="4"/>
      <c r="AD9" s="4"/>
      <c r="AE9" s="4"/>
      <c r="AF9" s="4"/>
      <c r="AG9" s="4"/>
      <c r="AH9" s="4"/>
      <c r="AI9" s="4"/>
      <c r="AJ9" s="4"/>
      <c r="AK9" s="4"/>
      <c r="AL9" s="4"/>
      <c r="AM9" s="4"/>
      <c r="AN9" s="4"/>
      <c r="AO9" s="4"/>
      <c r="AP9" s="4"/>
      <c r="AQ9" s="4"/>
      <c r="AR9" s="4"/>
      <c r="AS9" s="4"/>
    </row>
    <row r="10" spans="1:45" ht="12" customHeight="1" x14ac:dyDescent="0.2">
      <c r="A10" s="53" t="s">
        <v>173</v>
      </c>
      <c r="B10" s="53"/>
      <c r="C10" s="57">
        <f>'Proposed 2016'!E14+'Proposed 2016'!I14</f>
        <v>939640</v>
      </c>
      <c r="D10" s="57"/>
      <c r="E10" s="57">
        <v>1012792</v>
      </c>
      <c r="F10" s="57"/>
      <c r="G10" s="58">
        <f>913541-12000</f>
        <v>901541</v>
      </c>
      <c r="H10" s="58"/>
      <c r="I10" s="170">
        <f>773097</f>
        <v>773097</v>
      </c>
      <c r="J10" s="57"/>
      <c r="K10" s="178"/>
      <c r="L10" s="4"/>
      <c r="M10" s="4"/>
      <c r="N10" s="4"/>
      <c r="O10" s="158"/>
      <c r="P10" s="4"/>
      <c r="Q10" s="4"/>
      <c r="R10" s="4"/>
      <c r="U10" s="4"/>
      <c r="V10" s="4"/>
      <c r="W10" s="4"/>
      <c r="X10" s="4"/>
      <c r="Y10" s="4"/>
      <c r="Z10" s="4"/>
      <c r="AA10" s="4"/>
      <c r="AB10" s="4"/>
      <c r="AC10" s="4"/>
      <c r="AD10" s="4"/>
      <c r="AE10" s="4"/>
      <c r="AF10" s="4"/>
      <c r="AG10" s="4"/>
      <c r="AH10" s="4"/>
      <c r="AI10" s="4"/>
      <c r="AJ10" s="4"/>
      <c r="AK10" s="4"/>
      <c r="AL10" s="4"/>
      <c r="AM10" s="4"/>
      <c r="AN10" s="4"/>
      <c r="AO10" s="4"/>
      <c r="AP10" s="4"/>
      <c r="AQ10" s="4"/>
      <c r="AR10" s="4"/>
      <c r="AS10" s="4"/>
    </row>
    <row r="11" spans="1:45" ht="12" customHeight="1" x14ac:dyDescent="0.2">
      <c r="A11" s="192" t="s">
        <v>142</v>
      </c>
      <c r="B11" s="193"/>
      <c r="C11" s="57">
        <f>'Proposed 2016'!G14</f>
        <v>415300</v>
      </c>
      <c r="D11" s="57"/>
      <c r="E11" s="57">
        <v>303839</v>
      </c>
      <c r="F11" s="57"/>
      <c r="G11" s="58">
        <v>12000</v>
      </c>
      <c r="H11" s="58"/>
      <c r="I11" s="170">
        <v>551738</v>
      </c>
      <c r="J11" s="57"/>
      <c r="K11" s="179">
        <v>706.1</v>
      </c>
      <c r="L11" s="4"/>
      <c r="M11" s="4"/>
      <c r="N11" s="4"/>
      <c r="O11" s="4"/>
      <c r="P11" s="4"/>
      <c r="Q11" s="4"/>
      <c r="R11" s="4"/>
      <c r="U11" s="4"/>
      <c r="V11" s="4"/>
      <c r="W11" s="4"/>
      <c r="X11" s="4"/>
      <c r="Y11" s="4"/>
      <c r="Z11" s="4"/>
      <c r="AA11" s="4"/>
      <c r="AB11" s="4"/>
      <c r="AC11" s="4"/>
      <c r="AD11" s="4"/>
      <c r="AE11" s="4"/>
      <c r="AF11" s="4"/>
      <c r="AG11" s="4"/>
      <c r="AH11" s="4"/>
      <c r="AI11" s="4"/>
      <c r="AJ11" s="4"/>
      <c r="AK11" s="4"/>
      <c r="AL11" s="4"/>
      <c r="AM11" s="4"/>
      <c r="AN11" s="4"/>
      <c r="AO11" s="4"/>
      <c r="AP11" s="4"/>
      <c r="AQ11" s="4"/>
      <c r="AR11" s="4"/>
      <c r="AS11" s="4"/>
    </row>
    <row r="12" spans="1:45" x14ac:dyDescent="0.2">
      <c r="A12" s="53" t="s">
        <v>2</v>
      </c>
      <c r="B12" s="53"/>
      <c r="C12" s="57">
        <f>'Proposed 2016'!C16+'Proposed 2016'!C18+'Proposed 2016'!C19+'Proposed 2016'!C20+'Proposed 2016'!C21+'Proposed 2016'!C22+'Proposed 2016'!C23</f>
        <v>66790</v>
      </c>
      <c r="D12" s="57"/>
      <c r="E12" s="57">
        <v>86585</v>
      </c>
      <c r="F12" s="57"/>
      <c r="G12" s="57">
        <f>90128</f>
        <v>90128</v>
      </c>
      <c r="H12" s="57"/>
      <c r="I12" s="168">
        <f>82554+962640</f>
        <v>1045194</v>
      </c>
      <c r="J12" s="57"/>
      <c r="K12" s="178" t="s">
        <v>242</v>
      </c>
    </row>
    <row r="13" spans="1:45" x14ac:dyDescent="0.2">
      <c r="A13" s="60" t="s">
        <v>132</v>
      </c>
      <c r="B13" s="53"/>
      <c r="C13" s="57">
        <f>SUM(C8:C12)</f>
        <v>2641130</v>
      </c>
      <c r="D13" s="184">
        <f>C13/12/272</f>
        <v>809.16973039215679</v>
      </c>
      <c r="E13" s="57">
        <f>SUM(E8:E12)</f>
        <v>2530725</v>
      </c>
      <c r="F13" s="57"/>
      <c r="G13" s="57">
        <f>SUM(G8:G12)</f>
        <v>2073986</v>
      </c>
      <c r="H13" s="57"/>
      <c r="I13" s="168">
        <f>SUM(I8:I12)</f>
        <v>3421957</v>
      </c>
      <c r="J13" s="57"/>
      <c r="K13" s="178"/>
      <c r="M13" s="161"/>
    </row>
    <row r="14" spans="1:45" ht="6" customHeight="1" x14ac:dyDescent="0.2">
      <c r="A14" s="33"/>
      <c r="B14" s="33"/>
      <c r="C14" s="62"/>
      <c r="D14" s="62"/>
      <c r="E14" s="62"/>
      <c r="F14" s="61"/>
      <c r="G14" s="61"/>
      <c r="H14" s="63"/>
      <c r="I14" s="155"/>
      <c r="J14" s="61"/>
      <c r="K14" s="180"/>
    </row>
    <row r="15" spans="1:45" x14ac:dyDescent="0.2">
      <c r="A15" s="52" t="s">
        <v>19</v>
      </c>
      <c r="B15" s="53"/>
      <c r="C15" s="64"/>
      <c r="D15" s="64"/>
      <c r="E15" s="64"/>
      <c r="F15" s="57"/>
      <c r="G15" s="57"/>
      <c r="H15" s="57"/>
      <c r="I15" s="168"/>
      <c r="J15" s="57"/>
      <c r="K15" s="178"/>
    </row>
    <row r="16" spans="1:45" x14ac:dyDescent="0.2">
      <c r="A16" s="60" t="s">
        <v>17</v>
      </c>
      <c r="B16" s="53"/>
      <c r="C16" s="64"/>
      <c r="D16" s="64"/>
      <c r="E16" s="64"/>
      <c r="F16" s="57"/>
      <c r="G16" s="57"/>
      <c r="H16" s="57"/>
      <c r="I16" s="168"/>
      <c r="J16" s="57"/>
      <c r="K16" s="178"/>
    </row>
    <row r="17" spans="1:11" x14ac:dyDescent="0.2">
      <c r="A17" s="53" t="s">
        <v>3</v>
      </c>
      <c r="B17" s="53"/>
      <c r="C17" s="57">
        <f>'Proposed 2016'!C28</f>
        <v>384900.5</v>
      </c>
      <c r="D17" s="57"/>
      <c r="E17" s="57">
        <v>174630</v>
      </c>
      <c r="F17" s="57"/>
      <c r="G17" s="57">
        <v>159678</v>
      </c>
      <c r="H17" s="57"/>
      <c r="I17" s="168">
        <v>194701</v>
      </c>
      <c r="J17" s="57"/>
      <c r="K17" s="178" t="s">
        <v>87</v>
      </c>
    </row>
    <row r="18" spans="1:11" x14ac:dyDescent="0.2">
      <c r="A18" s="53" t="s">
        <v>27</v>
      </c>
      <c r="B18" s="53"/>
      <c r="C18" s="57">
        <f>'Proposed 2016'!C29</f>
        <v>219088.91025000002</v>
      </c>
      <c r="D18" s="57"/>
      <c r="E18" s="57">
        <v>116217</v>
      </c>
      <c r="F18" s="57"/>
      <c r="G18" s="57">
        <v>175985</v>
      </c>
      <c r="H18" s="57">
        <f>Benefits!S21</f>
        <v>0</v>
      </c>
      <c r="I18" s="168">
        <v>179437</v>
      </c>
      <c r="J18" s="57"/>
      <c r="K18" s="178" t="s">
        <v>87</v>
      </c>
    </row>
    <row r="19" spans="1:11" x14ac:dyDescent="0.2">
      <c r="A19" s="53" t="s">
        <v>104</v>
      </c>
      <c r="B19" s="53"/>
      <c r="C19" s="57">
        <f>'Proposed 2016'!C30</f>
        <v>144840</v>
      </c>
      <c r="D19" s="57"/>
      <c r="E19" s="57"/>
      <c r="F19" s="57"/>
      <c r="G19" s="57">
        <v>0</v>
      </c>
      <c r="H19" s="57"/>
      <c r="I19" s="168">
        <v>0</v>
      </c>
      <c r="J19" s="57"/>
      <c r="K19" s="178" t="s">
        <v>87</v>
      </c>
    </row>
    <row r="20" spans="1:11" x14ac:dyDescent="0.2">
      <c r="A20" s="53" t="s">
        <v>4</v>
      </c>
      <c r="B20" s="53"/>
      <c r="C20" s="57">
        <f>'Proposed 2016'!C31</f>
        <v>12000</v>
      </c>
      <c r="D20" s="57"/>
      <c r="E20" s="57">
        <v>2516</v>
      </c>
      <c r="F20" s="57"/>
      <c r="G20" s="57">
        <v>1985</v>
      </c>
      <c r="H20" s="57"/>
      <c r="I20" s="168">
        <v>13680</v>
      </c>
      <c r="J20" s="57"/>
      <c r="K20" s="178"/>
    </row>
    <row r="21" spans="1:11" x14ac:dyDescent="0.2">
      <c r="A21" s="53" t="s">
        <v>52</v>
      </c>
      <c r="B21" s="53"/>
      <c r="C21" s="57">
        <f>'Proposed 2016'!C32</f>
        <v>24000</v>
      </c>
      <c r="D21" s="57"/>
      <c r="E21" s="57"/>
      <c r="F21" s="57"/>
      <c r="G21" s="57"/>
      <c r="H21" s="57"/>
      <c r="I21" s="168">
        <v>0</v>
      </c>
      <c r="J21" s="57"/>
      <c r="K21" s="178"/>
    </row>
    <row r="22" spans="1:11" x14ac:dyDescent="0.2">
      <c r="A22" s="53" t="s">
        <v>78</v>
      </c>
      <c r="B22" s="53"/>
      <c r="C22" s="57">
        <f>'Proposed 2016'!C33</f>
        <v>130000</v>
      </c>
      <c r="D22" s="57"/>
      <c r="E22" s="57">
        <v>113288</v>
      </c>
      <c r="F22" s="59"/>
      <c r="G22" s="57">
        <v>20123</v>
      </c>
      <c r="H22" s="59"/>
      <c r="I22" s="171">
        <v>165388</v>
      </c>
      <c r="J22" s="59"/>
      <c r="K22" s="178"/>
    </row>
    <row r="23" spans="1:11" x14ac:dyDescent="0.2">
      <c r="A23" s="53" t="s">
        <v>144</v>
      </c>
      <c r="B23" s="53"/>
      <c r="C23" s="57">
        <v>0</v>
      </c>
      <c r="D23" s="57"/>
      <c r="E23" s="57"/>
      <c r="F23" s="59"/>
      <c r="G23" s="57"/>
      <c r="H23" s="59"/>
      <c r="I23" s="171">
        <v>0</v>
      </c>
      <c r="J23" s="59"/>
      <c r="K23" s="178"/>
    </row>
    <row r="24" spans="1:11" x14ac:dyDescent="0.2">
      <c r="A24" s="53" t="s">
        <v>65</v>
      </c>
      <c r="B24" s="53"/>
      <c r="C24" s="57">
        <f>'Proposed 2016'!C35</f>
        <v>31800</v>
      </c>
      <c r="D24" s="57"/>
      <c r="E24" s="57">
        <v>77735</v>
      </c>
      <c r="F24" s="57"/>
      <c r="G24" s="57">
        <f>6833+73115</f>
        <v>79948</v>
      </c>
      <c r="H24" s="57"/>
      <c r="I24" s="168">
        <v>131872</v>
      </c>
      <c r="J24" s="57"/>
      <c r="K24" s="178"/>
    </row>
    <row r="25" spans="1:11" x14ac:dyDescent="0.2">
      <c r="A25" s="53" t="s">
        <v>53</v>
      </c>
      <c r="B25" s="53"/>
      <c r="C25" s="57">
        <f>'Proposed 2016'!C36</f>
        <v>138100</v>
      </c>
      <c r="D25" s="57"/>
      <c r="E25" s="57">
        <f>3425+104000</f>
        <v>107425</v>
      </c>
      <c r="F25" s="57"/>
      <c r="G25" s="57">
        <v>51634</v>
      </c>
      <c r="H25" s="57"/>
      <c r="I25" s="168">
        <f>40463+10102</f>
        <v>50565</v>
      </c>
      <c r="J25" s="57"/>
      <c r="K25" s="178" t="s">
        <v>87</v>
      </c>
    </row>
    <row r="26" spans="1:11" x14ac:dyDescent="0.2">
      <c r="A26" s="60" t="s">
        <v>5</v>
      </c>
      <c r="B26" s="53"/>
      <c r="C26" s="57">
        <f>SUM(C17:C25)</f>
        <v>1084729.41025</v>
      </c>
      <c r="D26" s="57"/>
      <c r="E26" s="57">
        <f>SUM(E17:E25)</f>
        <v>591811</v>
      </c>
      <c r="F26" s="57"/>
      <c r="G26" s="57">
        <f>SUM(G17:G25)</f>
        <v>489353</v>
      </c>
      <c r="H26" s="57"/>
      <c r="I26" s="57">
        <f>SUM(I17:I25)</f>
        <v>735643</v>
      </c>
      <c r="J26" s="57"/>
      <c r="K26" s="178"/>
    </row>
    <row r="27" spans="1:11" ht="7.35" customHeight="1" x14ac:dyDescent="0.2">
      <c r="A27" s="33"/>
      <c r="B27" s="33"/>
      <c r="C27" s="62"/>
      <c r="D27" s="62"/>
      <c r="E27" s="62"/>
      <c r="F27" s="61"/>
      <c r="G27" s="61"/>
      <c r="H27" s="63"/>
      <c r="I27" s="155"/>
      <c r="J27" s="61"/>
      <c r="K27" s="180"/>
    </row>
    <row r="28" spans="1:11" x14ac:dyDescent="0.2">
      <c r="A28" s="60" t="s">
        <v>18</v>
      </c>
      <c r="B28" s="53"/>
      <c r="C28" s="162"/>
      <c r="D28" s="162"/>
      <c r="E28" s="162"/>
      <c r="F28" s="57"/>
      <c r="G28" s="57"/>
      <c r="H28" s="57"/>
      <c r="I28" s="168"/>
      <c r="J28" s="57"/>
      <c r="K28" s="178"/>
    </row>
    <row r="29" spans="1:11" x14ac:dyDescent="0.2">
      <c r="A29" s="53" t="s">
        <v>92</v>
      </c>
      <c r="B29" s="53"/>
      <c r="C29" s="57">
        <f>'Proposed 2016'!C40</f>
        <v>3000</v>
      </c>
      <c r="D29" s="57"/>
      <c r="E29" s="57">
        <v>2647</v>
      </c>
      <c r="F29" s="57"/>
      <c r="G29" s="57">
        <v>453</v>
      </c>
      <c r="H29" s="57"/>
      <c r="I29" s="168">
        <v>250</v>
      </c>
      <c r="J29" s="57"/>
      <c r="K29" s="178"/>
    </row>
    <row r="30" spans="1:11" x14ac:dyDescent="0.2">
      <c r="A30" s="60" t="s">
        <v>16</v>
      </c>
      <c r="B30" s="53"/>
      <c r="C30" s="57">
        <f>SUM(C29:C29)</f>
        <v>3000</v>
      </c>
      <c r="D30" s="57"/>
      <c r="E30" s="57">
        <f>SUM(E29:E29)</f>
        <v>2647</v>
      </c>
      <c r="F30" s="57"/>
      <c r="G30" s="57">
        <f>SUM(G29:G29)</f>
        <v>453</v>
      </c>
      <c r="H30" s="57"/>
      <c r="I30" s="57">
        <f>SUM(I29:I29)</f>
        <v>250</v>
      </c>
      <c r="J30" s="57"/>
      <c r="K30" s="178"/>
    </row>
    <row r="31" spans="1:11" ht="7.35" customHeight="1" x14ac:dyDescent="0.2">
      <c r="A31" s="33"/>
      <c r="B31" s="33"/>
      <c r="C31" s="63"/>
      <c r="D31" s="63"/>
      <c r="E31" s="63"/>
      <c r="F31" s="61"/>
      <c r="G31" s="61"/>
      <c r="H31" s="63"/>
      <c r="I31" s="172"/>
      <c r="J31" s="61"/>
      <c r="K31" s="180"/>
    </row>
    <row r="32" spans="1:11" x14ac:dyDescent="0.2">
      <c r="A32" s="60" t="s">
        <v>8</v>
      </c>
      <c r="B32" s="53"/>
      <c r="C32" s="57">
        <f>'Proposed 2016'!C48</f>
        <v>567000</v>
      </c>
      <c r="D32" s="57"/>
      <c r="E32" s="57">
        <v>535889</v>
      </c>
      <c r="F32" s="57"/>
      <c r="G32" s="57">
        <v>495196</v>
      </c>
      <c r="H32" s="57"/>
      <c r="I32" s="168">
        <v>534007</v>
      </c>
      <c r="J32" s="57"/>
      <c r="K32" s="178"/>
    </row>
    <row r="33" spans="1:14" x14ac:dyDescent="0.2">
      <c r="A33" s="60" t="s">
        <v>21</v>
      </c>
      <c r="B33" s="53"/>
      <c r="C33" s="57"/>
      <c r="D33" s="57"/>
      <c r="E33" s="57"/>
      <c r="F33" s="57"/>
      <c r="G33" s="57"/>
      <c r="H33" s="57"/>
      <c r="I33" s="168"/>
      <c r="J33" s="57"/>
      <c r="K33" s="178"/>
    </row>
    <row r="34" spans="1:14" x14ac:dyDescent="0.2">
      <c r="A34" s="53" t="s">
        <v>9</v>
      </c>
      <c r="B34" s="53"/>
      <c r="C34" s="159">
        <f>'Proposed 2016'!C50</f>
        <v>383997.89999999997</v>
      </c>
      <c r="D34" s="159"/>
      <c r="E34" s="159">
        <v>344591</v>
      </c>
      <c r="F34" s="159"/>
      <c r="G34" s="159">
        <v>290658</v>
      </c>
      <c r="H34" s="159"/>
      <c r="I34" s="183">
        <v>243798</v>
      </c>
      <c r="J34" s="57"/>
      <c r="K34" s="178" t="s">
        <v>87</v>
      </c>
    </row>
    <row r="35" spans="1:14" x14ac:dyDescent="0.2">
      <c r="A35" s="53" t="s">
        <v>27</v>
      </c>
      <c r="B35" s="53"/>
      <c r="C35" s="57">
        <f>'Proposed 2016'!C51</f>
        <v>212313.60672500002</v>
      </c>
      <c r="D35" s="57"/>
      <c r="E35" s="57">
        <v>330773</v>
      </c>
      <c r="F35" s="57"/>
      <c r="G35" s="57">
        <v>326830</v>
      </c>
      <c r="H35" s="57"/>
      <c r="I35" s="168">
        <v>225447</v>
      </c>
      <c r="J35" s="57"/>
      <c r="K35" s="178" t="s">
        <v>87</v>
      </c>
    </row>
    <row r="36" spans="1:14" x14ac:dyDescent="0.2">
      <c r="A36" s="53" t="s">
        <v>10</v>
      </c>
      <c r="B36" s="53"/>
      <c r="C36" s="57"/>
      <c r="D36" s="57"/>
      <c r="E36" s="57"/>
      <c r="F36" s="57"/>
      <c r="G36" s="57">
        <v>0</v>
      </c>
      <c r="H36" s="57"/>
      <c r="I36" s="168">
        <v>0</v>
      </c>
      <c r="J36" s="57"/>
      <c r="K36" s="178"/>
    </row>
    <row r="37" spans="1:14" x14ac:dyDescent="0.2">
      <c r="A37" s="53" t="s">
        <v>200</v>
      </c>
      <c r="B37" s="53"/>
      <c r="C37" s="57">
        <f>'Proposed 2016'!C53+'Proposed 2016'!C54</f>
        <v>90000</v>
      </c>
      <c r="D37" s="57"/>
      <c r="E37" s="57">
        <v>121460</v>
      </c>
      <c r="F37" s="57"/>
      <c r="G37" s="57">
        <v>51945</v>
      </c>
      <c r="H37" s="57"/>
      <c r="I37" s="168">
        <v>50176</v>
      </c>
      <c r="J37" s="57"/>
      <c r="K37" s="178"/>
    </row>
    <row r="38" spans="1:14" x14ac:dyDescent="0.2">
      <c r="A38" s="53" t="s">
        <v>241</v>
      </c>
      <c r="B38" s="53"/>
      <c r="C38" s="57">
        <f>'Proposed 2016'!C56+'Proposed 2016'!C57+'Proposed 2016'!C58+'Proposed 2016'!C60+'Proposed 2016'!C61+'Proposed 2016'!C62+'Proposed 2016'!C63+'Proposed 2016'!C64+'Proposed 2016'!C66+'Proposed 2016'!C67+'Proposed 2016'!C68+'Proposed 2016'!C69+'Proposed 2016'!C71+'Proposed 2016'!C72+'Proposed 2016'!C73</f>
        <v>223800</v>
      </c>
      <c r="D38" s="57"/>
      <c r="E38" s="57">
        <v>241478</v>
      </c>
      <c r="F38" s="57"/>
      <c r="G38" s="57">
        <v>104178</v>
      </c>
      <c r="H38" s="57"/>
      <c r="I38" s="168">
        <v>305006</v>
      </c>
      <c r="J38" s="57"/>
      <c r="K38" s="178"/>
      <c r="N38" s="15">
        <f>SUM(C38:C38)</f>
        <v>223800</v>
      </c>
    </row>
    <row r="39" spans="1:14" x14ac:dyDescent="0.2">
      <c r="A39" s="60" t="s">
        <v>12</v>
      </c>
      <c r="B39" s="53"/>
      <c r="C39" s="57">
        <f>SUM(C34:C38)</f>
        <v>910111.50672499998</v>
      </c>
      <c r="D39" s="57"/>
      <c r="E39" s="57">
        <f>SUM(E34:E38)</f>
        <v>1038302</v>
      </c>
      <c r="F39" s="57"/>
      <c r="G39" s="57">
        <f>SUM(G34:G38)</f>
        <v>773611</v>
      </c>
      <c r="H39" s="57"/>
      <c r="I39" s="57">
        <f>SUM(I34:I38)</f>
        <v>824427</v>
      </c>
      <c r="J39" s="57"/>
      <c r="K39" s="178"/>
    </row>
    <row r="40" spans="1:14" x14ac:dyDescent="0.2">
      <c r="A40" s="33"/>
      <c r="B40" s="33"/>
      <c r="C40" s="57"/>
      <c r="D40" s="63"/>
      <c r="E40" s="63"/>
      <c r="F40" s="61"/>
      <c r="G40" s="57"/>
      <c r="H40" s="63"/>
      <c r="I40" s="168"/>
      <c r="J40" s="61"/>
      <c r="K40" s="180"/>
    </row>
    <row r="41" spans="1:14" x14ac:dyDescent="0.2">
      <c r="A41" s="60" t="s">
        <v>180</v>
      </c>
      <c r="B41" s="53"/>
      <c r="C41" s="57">
        <v>0</v>
      </c>
      <c r="D41" s="57"/>
      <c r="E41" s="57">
        <v>88608</v>
      </c>
      <c r="F41" s="57"/>
      <c r="G41" s="57">
        <v>54978</v>
      </c>
      <c r="H41" s="57"/>
      <c r="I41" s="168">
        <v>97765</v>
      </c>
      <c r="J41" s="57"/>
      <c r="K41" s="178"/>
    </row>
    <row r="42" spans="1:14" x14ac:dyDescent="0.2">
      <c r="A42" s="60" t="s">
        <v>22</v>
      </c>
      <c r="B42" s="53"/>
      <c r="C42" s="57"/>
      <c r="D42" s="57"/>
      <c r="E42" s="57"/>
      <c r="F42" s="57"/>
      <c r="G42" s="57"/>
      <c r="H42" s="57"/>
      <c r="I42" s="168"/>
      <c r="J42" s="57"/>
      <c r="K42" s="178"/>
    </row>
    <row r="43" spans="1:14" x14ac:dyDescent="0.2">
      <c r="A43" s="53" t="s">
        <v>13</v>
      </c>
      <c r="B43" s="53"/>
      <c r="C43" s="57">
        <f>'Proposed 2016'!C78</f>
        <v>105330</v>
      </c>
      <c r="D43" s="57"/>
      <c r="E43" s="57">
        <v>106380</v>
      </c>
      <c r="F43" s="57"/>
      <c r="G43" s="57">
        <v>118153</v>
      </c>
      <c r="H43" s="57"/>
      <c r="I43" s="168">
        <v>126277</v>
      </c>
      <c r="J43" s="57"/>
      <c r="K43" s="178" t="s">
        <v>87</v>
      </c>
    </row>
    <row r="44" spans="1:14" x14ac:dyDescent="0.2">
      <c r="A44" s="53" t="s">
        <v>14</v>
      </c>
      <c r="B44" s="53"/>
      <c r="C44" s="57">
        <f>'Proposed 2016'!C79</f>
        <v>10000</v>
      </c>
      <c r="D44" s="57"/>
      <c r="E44" s="57">
        <v>20195</v>
      </c>
      <c r="F44" s="57"/>
      <c r="G44" s="57">
        <v>6194</v>
      </c>
      <c r="H44" s="57"/>
      <c r="I44" s="168">
        <v>5989</v>
      </c>
      <c r="J44" s="57"/>
      <c r="K44" s="178"/>
    </row>
    <row r="45" spans="1:14" x14ac:dyDescent="0.2">
      <c r="A45" s="53" t="s">
        <v>170</v>
      </c>
      <c r="B45" s="53"/>
      <c r="C45" s="57">
        <f>'Proposed 2016'!C80</f>
        <v>61200</v>
      </c>
      <c r="D45" s="57"/>
      <c r="E45" s="57">
        <v>59162</v>
      </c>
      <c r="F45" s="57"/>
      <c r="G45" s="57">
        <v>57512</v>
      </c>
      <c r="H45" s="57"/>
      <c r="I45" s="168">
        <v>42841</v>
      </c>
      <c r="J45" s="57"/>
      <c r="K45" s="178"/>
    </row>
    <row r="46" spans="1:14" x14ac:dyDescent="0.2">
      <c r="A46" s="53" t="s">
        <v>127</v>
      </c>
      <c r="B46" s="60"/>
      <c r="C46" s="57">
        <f>'Proposed 2016'!C81</f>
        <v>55000</v>
      </c>
      <c r="D46" s="57"/>
      <c r="E46" s="57">
        <v>1626</v>
      </c>
      <c r="F46" s="57"/>
      <c r="G46" s="57">
        <v>1228</v>
      </c>
      <c r="H46" s="57"/>
      <c r="I46" s="168">
        <v>969</v>
      </c>
      <c r="J46" s="57"/>
      <c r="K46" s="178"/>
    </row>
    <row r="47" spans="1:14" x14ac:dyDescent="0.2">
      <c r="A47" s="60" t="s">
        <v>15</v>
      </c>
      <c r="B47" s="53"/>
      <c r="C47" s="57">
        <f>SUM(C43:C46)</f>
        <v>231530</v>
      </c>
      <c r="D47" s="57"/>
      <c r="E47" s="57">
        <f>SUM(E43:E46)</f>
        <v>187363</v>
      </c>
      <c r="F47" s="57"/>
      <c r="G47" s="57">
        <f>SUM(G43:G46)</f>
        <v>183087</v>
      </c>
      <c r="H47" s="57"/>
      <c r="I47" s="168">
        <f>SUM(I43:I46)</f>
        <v>176076</v>
      </c>
      <c r="J47" s="57"/>
      <c r="K47" s="178"/>
    </row>
    <row r="48" spans="1:14" x14ac:dyDescent="0.2">
      <c r="A48" s="33"/>
      <c r="B48" s="33"/>
      <c r="C48" s="61"/>
      <c r="D48" s="61"/>
      <c r="E48" s="61"/>
      <c r="F48" s="61"/>
      <c r="G48" s="61"/>
      <c r="H48" s="63"/>
      <c r="I48" s="155"/>
      <c r="J48" s="61"/>
      <c r="K48" s="180"/>
    </row>
    <row r="49" spans="1:13" x14ac:dyDescent="0.2">
      <c r="A49" s="60" t="s">
        <v>64</v>
      </c>
      <c r="B49" s="53"/>
      <c r="C49" s="57">
        <f>C26+C30+C32+C39+C47+C41</f>
        <v>2796370.9169749999</v>
      </c>
      <c r="D49" s="184">
        <f>C49/12/272</f>
        <v>856.73128583792891</v>
      </c>
      <c r="E49" s="57">
        <f>E26+E30+E32+E39+E47+E41</f>
        <v>2444620</v>
      </c>
      <c r="F49" s="57"/>
      <c r="G49" s="57">
        <f>G26+G30+G32+G39+G47+G41</f>
        <v>1996678</v>
      </c>
      <c r="H49" s="57"/>
      <c r="I49" s="57">
        <f>I26+I30+I32+I39+I47+I41</f>
        <v>2368168</v>
      </c>
      <c r="J49" s="57"/>
      <c r="K49" s="178"/>
    </row>
    <row r="50" spans="1:13" x14ac:dyDescent="0.2">
      <c r="A50" s="42"/>
      <c r="B50" s="33"/>
      <c r="C50" s="63"/>
      <c r="D50" s="63"/>
      <c r="E50" s="63"/>
      <c r="F50" s="61"/>
      <c r="G50" s="61"/>
      <c r="H50" s="63"/>
      <c r="I50" s="172"/>
      <c r="J50" s="61"/>
      <c r="K50" s="180"/>
      <c r="M50" s="15">
        <f>M49-G49</f>
        <v>-1996678</v>
      </c>
    </row>
    <row r="51" spans="1:13" x14ac:dyDescent="0.2">
      <c r="A51" s="60" t="s">
        <v>130</v>
      </c>
      <c r="B51" s="53"/>
      <c r="C51" s="59"/>
      <c r="D51" s="59"/>
      <c r="E51" s="59"/>
      <c r="F51" s="59"/>
      <c r="G51" s="59"/>
      <c r="H51" s="59"/>
      <c r="I51" s="171"/>
      <c r="J51" s="59"/>
      <c r="K51" s="178"/>
    </row>
    <row r="52" spans="1:13" x14ac:dyDescent="0.2">
      <c r="A52" s="60" t="s">
        <v>121</v>
      </c>
      <c r="B52" s="53"/>
      <c r="C52" s="59">
        <f>C13-C49</f>
        <v>-155240.91697499994</v>
      </c>
      <c r="D52" s="59"/>
      <c r="E52" s="59">
        <f>E13-E49</f>
        <v>86105</v>
      </c>
      <c r="F52" s="59"/>
      <c r="G52" s="59">
        <f>G13-G49</f>
        <v>77308</v>
      </c>
      <c r="H52" s="59"/>
      <c r="I52" s="59">
        <f>I13-I49</f>
        <v>1053789</v>
      </c>
      <c r="J52" s="59"/>
      <c r="K52" s="178"/>
    </row>
    <row r="53" spans="1:13" x14ac:dyDescent="0.2">
      <c r="A53" s="60"/>
      <c r="B53" s="53"/>
      <c r="C53" s="59"/>
      <c r="D53" s="59"/>
      <c r="E53" s="59"/>
      <c r="F53" s="59"/>
      <c r="G53" s="59"/>
      <c r="H53" s="59"/>
      <c r="I53" s="171"/>
      <c r="J53" s="59"/>
      <c r="K53" s="178"/>
    </row>
    <row r="54" spans="1:13" x14ac:dyDescent="0.2">
      <c r="A54" s="60" t="s">
        <v>125</v>
      </c>
      <c r="B54" s="53"/>
      <c r="C54" s="59">
        <f>I54*-1</f>
        <v>0</v>
      </c>
      <c r="D54" s="59"/>
      <c r="E54" s="59"/>
      <c r="F54" s="59"/>
      <c r="G54" s="59">
        <v>0</v>
      </c>
      <c r="H54" s="59"/>
      <c r="I54" s="171"/>
      <c r="J54" s="59"/>
      <c r="K54" s="178"/>
    </row>
    <row r="55" spans="1:13" x14ac:dyDescent="0.2">
      <c r="A55" s="60"/>
      <c r="B55" s="53"/>
      <c r="C55" s="59"/>
      <c r="D55" s="59"/>
      <c r="E55" s="59"/>
      <c r="F55" s="59"/>
      <c r="G55" s="59"/>
      <c r="H55" s="59"/>
      <c r="I55" s="171"/>
      <c r="J55" s="57"/>
      <c r="K55" s="181"/>
    </row>
    <row r="56" spans="1:13" x14ac:dyDescent="0.2">
      <c r="A56" s="60" t="s">
        <v>181</v>
      </c>
      <c r="B56" s="53"/>
      <c r="C56" s="87">
        <f t="shared" ref="C56:I56" si="0">SUM(C51:C55)</f>
        <v>-155240.91697499994</v>
      </c>
      <c r="D56" s="87"/>
      <c r="E56" s="87"/>
      <c r="F56" s="87"/>
      <c r="G56" s="87">
        <f t="shared" si="0"/>
        <v>77308</v>
      </c>
      <c r="H56" s="87"/>
      <c r="I56" s="171">
        <f t="shared" si="0"/>
        <v>1053789</v>
      </c>
      <c r="J56" s="87"/>
      <c r="K56" s="181"/>
    </row>
    <row r="57" spans="1:13" x14ac:dyDescent="0.2">
      <c r="A57" s="14"/>
      <c r="C57" s="15"/>
      <c r="D57" s="15"/>
      <c r="E57" s="15"/>
      <c r="F57" s="15"/>
      <c r="G57" s="29"/>
      <c r="H57" s="27"/>
      <c r="I57" s="173"/>
      <c r="J57" s="27"/>
      <c r="K57" s="24"/>
    </row>
    <row r="58" spans="1:13" x14ac:dyDescent="0.2">
      <c r="A58" s="14"/>
      <c r="C58" s="15"/>
      <c r="D58" s="15"/>
      <c r="E58" s="15"/>
      <c r="F58" s="15"/>
      <c r="G58" s="29"/>
      <c r="H58" s="27"/>
      <c r="I58" s="173"/>
      <c r="J58" s="27"/>
      <c r="K58" s="24"/>
    </row>
    <row r="59" spans="1:13" x14ac:dyDescent="0.2">
      <c r="A59" s="33"/>
      <c r="B59" s="33"/>
      <c r="C59" s="46"/>
      <c r="D59" s="46"/>
      <c r="E59" s="46"/>
      <c r="F59" s="95"/>
      <c r="G59" s="46"/>
      <c r="H59" s="95"/>
      <c r="I59" s="174"/>
      <c r="J59"/>
    </row>
    <row r="60" spans="1:13" ht="15" x14ac:dyDescent="0.25">
      <c r="A60" s="114" t="s">
        <v>238</v>
      </c>
      <c r="B60" s="33"/>
      <c r="C60" s="46"/>
      <c r="D60" s="46"/>
      <c r="E60" s="46"/>
      <c r="F60" s="95"/>
      <c r="G60" s="46"/>
      <c r="H60" s="95"/>
      <c r="I60" s="174"/>
      <c r="J60"/>
    </row>
    <row r="61" spans="1:13" x14ac:dyDescent="0.2">
      <c r="A61" s="33"/>
      <c r="B61" s="33"/>
      <c r="C61" s="167">
        <v>2016</v>
      </c>
      <c r="D61" s="167"/>
      <c r="E61" s="167">
        <v>2015</v>
      </c>
      <c r="F61" s="96"/>
      <c r="G61" s="167">
        <v>2014</v>
      </c>
      <c r="H61" s="96"/>
      <c r="I61" s="175">
        <v>2013</v>
      </c>
      <c r="J61"/>
      <c r="K61" s="182">
        <v>2012</v>
      </c>
    </row>
    <row r="62" spans="1:13" x14ac:dyDescent="0.2">
      <c r="A62" s="52" t="s">
        <v>131</v>
      </c>
      <c r="B62" s="53"/>
      <c r="C62" s="55"/>
      <c r="D62" s="55"/>
      <c r="E62" s="55"/>
      <c r="F62" s="55"/>
      <c r="G62" s="55"/>
      <c r="H62" s="55"/>
      <c r="I62" s="168"/>
      <c r="J62"/>
    </row>
    <row r="63" spans="1:13" x14ac:dyDescent="0.2">
      <c r="A63" s="53" t="s">
        <v>1</v>
      </c>
      <c r="B63" s="53"/>
      <c r="C63" s="56">
        <v>0</v>
      </c>
      <c r="D63" s="56"/>
      <c r="E63" s="56"/>
      <c r="F63" s="56"/>
      <c r="G63" s="56">
        <v>0</v>
      </c>
      <c r="H63" s="56"/>
      <c r="I63" s="168"/>
      <c r="J63"/>
    </row>
    <row r="64" spans="1:13" x14ac:dyDescent="0.2">
      <c r="A64" s="53" t="s">
        <v>24</v>
      </c>
      <c r="B64" s="53"/>
      <c r="C64" s="55"/>
      <c r="D64" s="55"/>
      <c r="E64" s="55"/>
      <c r="F64" s="55"/>
      <c r="G64" s="55"/>
      <c r="H64" s="55"/>
      <c r="I64" s="168"/>
      <c r="J64"/>
    </row>
    <row r="65" spans="1:10" x14ac:dyDescent="0.2">
      <c r="A65" s="53" t="s">
        <v>173</v>
      </c>
      <c r="B65" s="53"/>
      <c r="C65" s="58">
        <v>415300</v>
      </c>
      <c r="D65" s="58"/>
      <c r="E65" s="58">
        <v>4791657</v>
      </c>
      <c r="F65" s="58"/>
      <c r="G65" s="58">
        <v>6477205</v>
      </c>
      <c r="H65" s="57"/>
      <c r="I65" s="168">
        <v>5512589</v>
      </c>
      <c r="J65"/>
    </row>
    <row r="66" spans="1:10" x14ac:dyDescent="0.2">
      <c r="A66" s="192" t="s">
        <v>142</v>
      </c>
      <c r="B66" s="193"/>
      <c r="C66" s="58"/>
      <c r="D66" s="58"/>
      <c r="E66" s="58"/>
      <c r="F66" s="58"/>
      <c r="G66" s="58"/>
      <c r="H66" s="57"/>
      <c r="I66" s="168"/>
      <c r="J66"/>
    </row>
    <row r="67" spans="1:10" x14ac:dyDescent="0.2">
      <c r="A67" s="53" t="s">
        <v>2</v>
      </c>
      <c r="B67" s="53"/>
      <c r="C67" s="57">
        <v>35920</v>
      </c>
      <c r="D67" s="57"/>
      <c r="E67" s="57">
        <f>128+10483+674731</f>
        <v>685342</v>
      </c>
      <c r="F67" s="57"/>
      <c r="G67" s="57">
        <f>8367+993588</f>
        <v>1001955</v>
      </c>
      <c r="H67" s="57"/>
      <c r="I67" s="168">
        <v>894853</v>
      </c>
      <c r="J67"/>
    </row>
    <row r="68" spans="1:10" x14ac:dyDescent="0.2">
      <c r="A68" s="60" t="s">
        <v>132</v>
      </c>
      <c r="B68" s="53"/>
      <c r="C68" s="57">
        <f>SUM(C63:C67)</f>
        <v>451220</v>
      </c>
      <c r="D68" s="57"/>
      <c r="E68" s="57">
        <f>SUM(E63:E67)</f>
        <v>5476999</v>
      </c>
      <c r="F68" s="57"/>
      <c r="G68" s="57">
        <f>SUM(G63:G67)</f>
        <v>7479160</v>
      </c>
      <c r="H68" s="57"/>
      <c r="I68" s="57">
        <f>SUM(I63:I67)</f>
        <v>6407442</v>
      </c>
      <c r="J68"/>
    </row>
    <row r="69" spans="1:10" x14ac:dyDescent="0.2">
      <c r="A69" s="33"/>
      <c r="B69" s="33"/>
      <c r="C69" s="61"/>
      <c r="D69" s="61"/>
      <c r="E69" s="61"/>
      <c r="F69" s="63"/>
      <c r="G69" s="62"/>
      <c r="H69" s="61"/>
      <c r="I69" s="155"/>
      <c r="J69"/>
    </row>
    <row r="70" spans="1:10" x14ac:dyDescent="0.2">
      <c r="A70" s="52" t="s">
        <v>19</v>
      </c>
      <c r="B70" s="53"/>
      <c r="C70" s="57"/>
      <c r="D70" s="57"/>
      <c r="E70" s="57"/>
      <c r="F70" s="57"/>
      <c r="G70" s="64"/>
      <c r="H70" s="57"/>
      <c r="I70" s="168"/>
      <c r="J70"/>
    </row>
    <row r="71" spans="1:10" x14ac:dyDescent="0.2">
      <c r="A71" s="60" t="s">
        <v>17</v>
      </c>
      <c r="B71" s="53"/>
      <c r="C71" s="57"/>
      <c r="D71" s="57"/>
      <c r="E71" s="57"/>
      <c r="F71" s="57"/>
      <c r="G71" s="64"/>
      <c r="H71" s="57"/>
      <c r="I71" s="168"/>
      <c r="J71"/>
    </row>
    <row r="72" spans="1:10" x14ac:dyDescent="0.2">
      <c r="A72" s="53" t="s">
        <v>3</v>
      </c>
      <c r="B72" s="53"/>
      <c r="C72" s="57">
        <v>189567.46043642241</v>
      </c>
      <c r="D72" s="57"/>
      <c r="E72" s="57">
        <v>197352</v>
      </c>
      <c r="F72" s="57"/>
      <c r="G72" s="57">
        <v>149904</v>
      </c>
      <c r="H72" s="57"/>
      <c r="I72" s="168">
        <v>274521</v>
      </c>
      <c r="J72"/>
    </row>
    <row r="73" spans="1:10" x14ac:dyDescent="0.2">
      <c r="A73" s="53" t="s">
        <v>27</v>
      </c>
      <c r="B73" s="53"/>
      <c r="C73" s="57">
        <f>'Proposed 2016'!G29</f>
        <v>107224.55845060074</v>
      </c>
      <c r="D73" s="57"/>
      <c r="E73" s="57">
        <v>123342</v>
      </c>
      <c r="F73" s="57">
        <v>0</v>
      </c>
      <c r="G73" s="57">
        <v>123500</v>
      </c>
      <c r="H73" s="57"/>
      <c r="I73" s="168">
        <v>157939</v>
      </c>
      <c r="J73"/>
    </row>
    <row r="74" spans="1:10" x14ac:dyDescent="0.2">
      <c r="A74" s="53" t="s">
        <v>104</v>
      </c>
      <c r="B74" s="53"/>
      <c r="C74" s="57">
        <v>0</v>
      </c>
      <c r="D74" s="57"/>
      <c r="E74" s="57"/>
      <c r="F74" s="57"/>
      <c r="G74" s="57">
        <v>0</v>
      </c>
      <c r="H74" s="57"/>
      <c r="I74" s="168"/>
      <c r="J74"/>
    </row>
    <row r="75" spans="1:10" x14ac:dyDescent="0.2">
      <c r="A75" s="53" t="s">
        <v>4</v>
      </c>
      <c r="B75" s="53"/>
      <c r="C75" s="57">
        <v>7560</v>
      </c>
      <c r="D75" s="57"/>
      <c r="E75" s="57">
        <v>4284</v>
      </c>
      <c r="F75" s="57"/>
      <c r="G75" s="57">
        <v>15715</v>
      </c>
      <c r="H75" s="57"/>
      <c r="I75" s="168">
        <v>2720</v>
      </c>
      <c r="J75"/>
    </row>
    <row r="76" spans="1:10" x14ac:dyDescent="0.2">
      <c r="A76" s="53" t="s">
        <v>52</v>
      </c>
      <c r="B76" s="53"/>
      <c r="C76" s="57">
        <v>6000</v>
      </c>
      <c r="D76" s="57"/>
      <c r="E76" s="57"/>
      <c r="F76" s="57"/>
      <c r="G76" s="57">
        <v>0</v>
      </c>
      <c r="H76" s="57"/>
      <c r="I76" s="168"/>
      <c r="J76"/>
    </row>
    <row r="77" spans="1:10" x14ac:dyDescent="0.2">
      <c r="A77" s="53" t="s">
        <v>78</v>
      </c>
      <c r="B77" s="53"/>
      <c r="C77" s="57">
        <v>5000</v>
      </c>
      <c r="D77" s="57"/>
      <c r="E77" s="57">
        <v>7534</v>
      </c>
      <c r="F77" s="59"/>
      <c r="G77" s="59">
        <v>36610</v>
      </c>
      <c r="H77" s="59"/>
      <c r="I77" s="168">
        <v>60960</v>
      </c>
      <c r="J77"/>
    </row>
    <row r="78" spans="1:10" x14ac:dyDescent="0.2">
      <c r="A78" s="53" t="s">
        <v>144</v>
      </c>
      <c r="B78" s="53"/>
      <c r="C78" s="57">
        <v>63900</v>
      </c>
      <c r="D78" s="57"/>
      <c r="E78" s="57"/>
      <c r="F78" s="59"/>
      <c r="G78" s="59">
        <v>63864</v>
      </c>
      <c r="H78" s="59"/>
      <c r="I78" s="168"/>
      <c r="J78"/>
    </row>
    <row r="79" spans="1:10" x14ac:dyDescent="0.2">
      <c r="A79" s="53" t="s">
        <v>240</v>
      </c>
      <c r="B79" s="53"/>
      <c r="C79" s="57">
        <v>10800</v>
      </c>
      <c r="D79" s="57"/>
      <c r="E79" s="57">
        <v>170297</v>
      </c>
      <c r="F79" s="57"/>
      <c r="G79" s="57">
        <f>111320-G78</f>
        <v>47456</v>
      </c>
      <c r="H79" s="57"/>
      <c r="I79" s="168">
        <v>205626</v>
      </c>
      <c r="J79"/>
    </row>
    <row r="80" spans="1:10" x14ac:dyDescent="0.2">
      <c r="A80" s="53" t="s">
        <v>53</v>
      </c>
      <c r="B80" s="53"/>
      <c r="C80" s="57">
        <v>84659.763657497097</v>
      </c>
      <c r="D80" s="57"/>
      <c r="E80" s="57">
        <v>31802</v>
      </c>
      <c r="F80" s="57"/>
      <c r="G80" s="57">
        <f>996+46662</f>
        <v>47658</v>
      </c>
      <c r="H80" s="57"/>
      <c r="I80" s="168">
        <f>2632+31075</f>
        <v>33707</v>
      </c>
      <c r="J80"/>
    </row>
    <row r="81" spans="1:12" x14ac:dyDescent="0.2">
      <c r="A81" s="60" t="s">
        <v>5</v>
      </c>
      <c r="B81" s="53"/>
      <c r="C81" s="57">
        <f>SUM(C72:C80)</f>
        <v>474711.78254452022</v>
      </c>
      <c r="D81" s="57"/>
      <c r="E81" s="57">
        <f>SUM(E72:E80)</f>
        <v>534611</v>
      </c>
      <c r="F81" s="57"/>
      <c r="G81" s="57">
        <f>SUM(G72:G80)</f>
        <v>484707</v>
      </c>
      <c r="H81" s="57"/>
      <c r="I81" s="57">
        <f>SUM(I72:I80)</f>
        <v>735473</v>
      </c>
      <c r="J81"/>
    </row>
    <row r="82" spans="1:12" x14ac:dyDescent="0.2">
      <c r="A82" s="33"/>
      <c r="B82" s="33"/>
      <c r="C82" s="61"/>
      <c r="D82" s="61"/>
      <c r="E82" s="61"/>
      <c r="F82" s="63"/>
      <c r="G82" s="62"/>
      <c r="H82" s="61"/>
      <c r="I82" s="155"/>
      <c r="J82"/>
    </row>
    <row r="83" spans="1:12" x14ac:dyDescent="0.2">
      <c r="A83" s="33"/>
      <c r="B83" s="33"/>
      <c r="C83" s="57"/>
      <c r="D83" s="63"/>
      <c r="E83" s="63"/>
      <c r="F83" s="63"/>
      <c r="G83" s="57"/>
      <c r="H83" s="61"/>
      <c r="I83" s="155"/>
      <c r="J83"/>
    </row>
    <row r="84" spans="1:12" x14ac:dyDescent="0.2">
      <c r="A84" s="60" t="s">
        <v>180</v>
      </c>
      <c r="B84" s="53"/>
      <c r="C84" s="57">
        <v>0</v>
      </c>
      <c r="D84" s="57"/>
      <c r="E84" s="57"/>
      <c r="F84" s="57"/>
      <c r="G84" s="57">
        <v>0</v>
      </c>
      <c r="H84" s="57"/>
      <c r="I84" s="168"/>
      <c r="J84"/>
    </row>
    <row r="85" spans="1:12" x14ac:dyDescent="0.2">
      <c r="A85" s="60" t="s">
        <v>22</v>
      </c>
      <c r="B85" s="53"/>
      <c r="C85" s="57"/>
      <c r="D85" s="57"/>
      <c r="E85" s="57"/>
      <c r="F85" s="57"/>
      <c r="G85" s="57"/>
      <c r="H85" s="57"/>
      <c r="I85" s="168"/>
      <c r="J85"/>
    </row>
    <row r="86" spans="1:12" x14ac:dyDescent="0.2">
      <c r="A86" s="53" t="s">
        <v>13</v>
      </c>
      <c r="B86" s="53"/>
      <c r="C86" s="57">
        <v>9105</v>
      </c>
      <c r="D86" s="57"/>
      <c r="E86" s="57">
        <v>9778</v>
      </c>
      <c r="F86" s="57"/>
      <c r="G86" s="57">
        <v>17396</v>
      </c>
      <c r="H86" s="57"/>
      <c r="I86" s="168">
        <v>18840</v>
      </c>
      <c r="J86"/>
    </row>
    <row r="87" spans="1:12" x14ac:dyDescent="0.2">
      <c r="A87" s="53" t="s">
        <v>14</v>
      </c>
      <c r="B87" s="53"/>
      <c r="C87" s="57">
        <v>0</v>
      </c>
      <c r="D87" s="57"/>
      <c r="E87" s="57"/>
      <c r="F87" s="57"/>
      <c r="G87" s="57">
        <v>34893</v>
      </c>
      <c r="H87" s="57"/>
      <c r="I87" s="168"/>
      <c r="J87"/>
    </row>
    <row r="88" spans="1:12" x14ac:dyDescent="0.2">
      <c r="A88" s="53" t="s">
        <v>170</v>
      </c>
      <c r="B88" s="53"/>
      <c r="C88" s="57">
        <v>0</v>
      </c>
      <c r="D88" s="57"/>
      <c r="E88" s="57"/>
      <c r="F88" s="57"/>
      <c r="G88" s="57">
        <v>16364</v>
      </c>
      <c r="H88" s="57"/>
      <c r="I88" s="168"/>
      <c r="J88"/>
    </row>
    <row r="89" spans="1:12" x14ac:dyDescent="0.2">
      <c r="A89" s="53" t="s">
        <v>113</v>
      </c>
      <c r="B89" s="60"/>
      <c r="C89" s="57">
        <v>5000</v>
      </c>
      <c r="D89" s="57"/>
      <c r="E89" s="57">
        <f>1049+10554</f>
        <v>11603</v>
      </c>
      <c r="F89" s="57"/>
      <c r="G89" s="57">
        <v>0</v>
      </c>
      <c r="H89" s="57"/>
      <c r="I89" s="168"/>
      <c r="J89"/>
    </row>
    <row r="90" spans="1:12" x14ac:dyDescent="0.2">
      <c r="A90" s="60" t="s">
        <v>15</v>
      </c>
      <c r="B90" s="53"/>
      <c r="C90" s="57">
        <f>SUM(C84:C89)</f>
        <v>14105</v>
      </c>
      <c r="D90" s="57"/>
      <c r="E90" s="57">
        <f>SUM(E84:E89)</f>
        <v>21381</v>
      </c>
      <c r="F90" s="57"/>
      <c r="G90" s="57">
        <f>SUM(G84:G89)</f>
        <v>68653</v>
      </c>
      <c r="H90" s="57"/>
      <c r="I90" s="57">
        <f>SUM(I84:I89)</f>
        <v>18840</v>
      </c>
      <c r="J90"/>
    </row>
    <row r="91" spans="1:12" x14ac:dyDescent="0.2">
      <c r="A91" s="33" t="s">
        <v>239</v>
      </c>
      <c r="B91" s="33"/>
      <c r="C91" s="61"/>
      <c r="D91" s="61"/>
      <c r="E91" s="61">
        <f>5177284+633730</f>
        <v>5811014</v>
      </c>
      <c r="F91" s="63"/>
      <c r="G91" s="61">
        <f>5790689+956276</f>
        <v>6746965</v>
      </c>
      <c r="H91" s="61"/>
      <c r="I91" s="155">
        <f>6335388+859580</f>
        <v>7194968</v>
      </c>
      <c r="J91"/>
    </row>
    <row r="92" spans="1:12" x14ac:dyDescent="0.2">
      <c r="A92" s="60" t="s">
        <v>64</v>
      </c>
      <c r="B92" s="53"/>
      <c r="C92" s="57">
        <f>C81+C90+C91</f>
        <v>488816.78254452022</v>
      </c>
      <c r="D92" s="57"/>
      <c r="E92" s="57">
        <f>E81+E90+E91</f>
        <v>6367006</v>
      </c>
      <c r="F92" s="57"/>
      <c r="G92" s="57">
        <f>G81+G90+G91</f>
        <v>7300325</v>
      </c>
      <c r="H92" s="57"/>
      <c r="I92" s="57">
        <f>I81+I90+I91</f>
        <v>7949281</v>
      </c>
      <c r="J92"/>
    </row>
    <row r="93" spans="1:12" x14ac:dyDescent="0.2">
      <c r="A93" s="42"/>
      <c r="B93" s="33"/>
      <c r="C93" s="61"/>
      <c r="D93" s="61"/>
      <c r="E93" s="61"/>
      <c r="F93" s="63"/>
      <c r="G93" s="63"/>
      <c r="H93" s="61"/>
      <c r="I93" s="155"/>
      <c r="J93"/>
      <c r="L93" s="15"/>
    </row>
    <row r="94" spans="1:12" x14ac:dyDescent="0.2">
      <c r="A94" s="60" t="s">
        <v>130</v>
      </c>
      <c r="B94" s="53"/>
      <c r="C94" s="59"/>
      <c r="D94" s="59"/>
      <c r="E94" s="59"/>
      <c r="F94" s="59"/>
      <c r="G94" s="59"/>
      <c r="H94" s="59"/>
      <c r="I94" s="168"/>
      <c r="J94"/>
    </row>
    <row r="95" spans="1:12" x14ac:dyDescent="0.2">
      <c r="A95" s="60" t="s">
        <v>121</v>
      </c>
      <c r="B95" s="53"/>
      <c r="C95" s="59">
        <f>C68-C92</f>
        <v>-37596.782544520218</v>
      </c>
      <c r="D95" s="59"/>
      <c r="E95" s="59">
        <f>E68-E92</f>
        <v>-890007</v>
      </c>
      <c r="F95" s="59"/>
      <c r="G95" s="59">
        <f>G68-G92</f>
        <v>178835</v>
      </c>
      <c r="H95" s="59"/>
      <c r="I95" s="59">
        <f>I68-I92</f>
        <v>-1541839</v>
      </c>
      <c r="J95"/>
    </row>
    <row r="96" spans="1:12" x14ac:dyDescent="0.2">
      <c r="A96" s="60"/>
      <c r="B96" s="53"/>
      <c r="C96" s="59"/>
      <c r="D96" s="59"/>
      <c r="E96" s="59"/>
      <c r="F96" s="59"/>
      <c r="G96" s="59"/>
      <c r="H96" s="59"/>
      <c r="I96" s="168"/>
      <c r="J96"/>
    </row>
    <row r="97" spans="1:10" x14ac:dyDescent="0.2">
      <c r="A97" s="60" t="s">
        <v>125</v>
      </c>
      <c r="B97" s="53"/>
      <c r="C97" s="59">
        <v>0</v>
      </c>
      <c r="D97" s="59"/>
      <c r="E97" s="59"/>
      <c r="F97" s="59"/>
      <c r="G97" s="59">
        <v>-120580</v>
      </c>
      <c r="H97" s="59"/>
      <c r="I97" s="168"/>
      <c r="J97"/>
    </row>
    <row r="98" spans="1:10" x14ac:dyDescent="0.2">
      <c r="A98" s="60"/>
      <c r="B98" s="53"/>
      <c r="C98" s="59"/>
      <c r="D98" s="59"/>
      <c r="E98" s="59"/>
      <c r="F98" s="59"/>
      <c r="G98" s="59"/>
      <c r="H98" s="57"/>
      <c r="I98" s="168"/>
      <c r="J98"/>
    </row>
    <row r="99" spans="1:10" x14ac:dyDescent="0.2">
      <c r="A99" s="60" t="s">
        <v>181</v>
      </c>
      <c r="B99" s="53"/>
      <c r="C99" s="87">
        <f>SUM(C94:C98)</f>
        <v>-37596.782544520218</v>
      </c>
      <c r="D99" s="87"/>
      <c r="E99" s="87"/>
      <c r="F99" s="87"/>
      <c r="G99" s="87">
        <f>SUM(G94:G98)</f>
        <v>58255</v>
      </c>
      <c r="H99" s="87"/>
      <c r="I99" s="65"/>
      <c r="J99"/>
    </row>
  </sheetData>
  <mergeCells count="5">
    <mergeCell ref="A66:B66"/>
    <mergeCell ref="A1:K1"/>
    <mergeCell ref="A2:K2"/>
    <mergeCell ref="A3:K3"/>
    <mergeCell ref="A11:B11"/>
  </mergeCells>
  <pageMargins left="0.2" right="0.2" top="0.25" bottom="0.2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Proposed 2016</vt:lpstr>
      <vt:lpstr>Salaries</vt:lpstr>
      <vt:lpstr>Benefits</vt:lpstr>
      <vt:lpstr>OtherAdmin</vt:lpstr>
      <vt:lpstr>Insurance</vt:lpstr>
      <vt:lpstr>Subsidy</vt:lpstr>
      <vt:lpstr>Budget Compare</vt:lpstr>
      <vt:lpstr>Benefits!Print_Area</vt:lpstr>
      <vt:lpstr>'Budget Compare'!Print_Area</vt:lpstr>
      <vt:lpstr>Insurance!Print_Area</vt:lpstr>
      <vt:lpstr>OtherAdmin!Print_Area</vt:lpstr>
      <vt:lpstr>'Proposed 2016'!Print_Area</vt:lpstr>
      <vt:lpstr>Salaries!Print_Area</vt:lpstr>
      <vt:lpstr>Subsidy!Print_Area</vt:lpstr>
      <vt:lpstr>Benefits!Print_Titles</vt:lpstr>
      <vt:lpstr>'Budget Compare'!Print_Titles</vt:lpstr>
      <vt:lpstr>'Proposed 2016'!Print_Titles</vt:lpstr>
      <vt:lpstr>Salaries!Print_Titles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dc:creator>
  <cp:lastModifiedBy>Les</cp:lastModifiedBy>
  <cp:lastPrinted>2016-03-21T20:57:39Z</cp:lastPrinted>
  <dcterms:created xsi:type="dcterms:W3CDTF">1997-10-27T00:05:23Z</dcterms:created>
  <dcterms:modified xsi:type="dcterms:W3CDTF">2019-07-05T17:06:49Z</dcterms:modified>
</cp:coreProperties>
</file>